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12\"/>
    </mc:Choice>
  </mc:AlternateContent>
  <xr:revisionPtr revIDLastSave="0" documentId="13_ncr:1_{1B4A8C37-8161-462A-A8B7-B9ECA88133F5}" xr6:coauthVersionLast="47" xr6:coauthVersionMax="47" xr10:uidLastSave="{00000000-0000-0000-0000-000000000000}"/>
  <bookViews>
    <workbookView xWindow="-150" yWindow="2250" windowWidth="28785" windowHeight="10995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1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lYVN+s86UYV3QRlQlIULrdocKZQ=="/>
    </ext>
  </extLst>
</workbook>
</file>

<file path=xl/calcChain.xml><?xml version="1.0" encoding="utf-8"?>
<calcChain xmlns="http://schemas.openxmlformats.org/spreadsheetml/2006/main">
  <c r="E13" i="11" l="1"/>
  <c r="E14" i="11"/>
  <c r="E10" i="11"/>
  <c r="E9" i="11"/>
  <c r="E3" i="11"/>
  <c r="E21" i="11" l="1"/>
  <c r="E15" i="11"/>
  <c r="E11" i="11"/>
  <c r="E5" i="11"/>
  <c r="F13" i="11"/>
  <c r="F9" i="11"/>
  <c r="F14" i="11"/>
  <c r="F10" i="11"/>
  <c r="F3" i="11"/>
  <c r="F21" i="11" l="1"/>
  <c r="F15" i="11"/>
  <c r="F11" i="11"/>
  <c r="F5" i="11"/>
  <c r="G13" i="11"/>
  <c r="G9" i="11"/>
  <c r="G14" i="11"/>
  <c r="G10" i="11"/>
  <c r="G3" i="11"/>
  <c r="E4" i="11" s="1"/>
  <c r="E6" i="11" s="1"/>
  <c r="E7" i="11" s="1"/>
  <c r="E17" i="11" s="1"/>
  <c r="G21" i="11" l="1"/>
  <c r="G15" i="11"/>
  <c r="G11" i="11"/>
  <c r="G5" i="11"/>
  <c r="H13" i="11"/>
  <c r="H14" i="11"/>
  <c r="H10" i="11"/>
  <c r="H9" i="11"/>
  <c r="H3" i="11"/>
  <c r="F4" i="11" s="1"/>
  <c r="F6" i="11" s="1"/>
  <c r="F7" i="11" s="1"/>
  <c r="F17" i="11" s="1"/>
  <c r="H21" i="11" l="1"/>
  <c r="H15" i="11"/>
  <c r="H11" i="11"/>
  <c r="H5" i="11"/>
  <c r="I13" i="11"/>
  <c r="I9" i="11"/>
  <c r="I14" i="11"/>
  <c r="I10" i="11"/>
  <c r="I3" i="11"/>
  <c r="G4" i="11" s="1"/>
  <c r="G6" i="11" s="1"/>
  <c r="G7" i="11" s="1"/>
  <c r="G17" i="11" s="1"/>
  <c r="I21" i="11" l="1"/>
  <c r="I15" i="11"/>
  <c r="I11" i="11"/>
  <c r="I5" i="11"/>
  <c r="J13" i="11"/>
  <c r="J14" i="11"/>
  <c r="J10" i="11"/>
  <c r="J9" i="11"/>
  <c r="J3" i="11"/>
  <c r="H4" i="11" s="1"/>
  <c r="H6" i="11" s="1"/>
  <c r="H7" i="11" s="1"/>
  <c r="H17" i="11" s="1"/>
  <c r="J21" i="11" l="1"/>
  <c r="J15" i="11"/>
  <c r="J11" i="11"/>
  <c r="J5" i="11"/>
  <c r="K13" i="11"/>
  <c r="K9" i="11"/>
  <c r="K3" i="11" l="1"/>
  <c r="K14" i="11"/>
  <c r="K15" i="11" s="1"/>
  <c r="K10" i="11"/>
  <c r="K21" i="11"/>
  <c r="K11" i="11"/>
  <c r="K5" i="11"/>
  <c r="I4" i="11" l="1"/>
  <c r="I6" i="11" s="1"/>
  <c r="I7" i="11" s="1"/>
  <c r="I17" i="11" s="1"/>
  <c r="L14" i="11"/>
  <c r="L13" i="11"/>
  <c r="L10" i="11"/>
  <c r="L9" i="11"/>
  <c r="L3" i="11"/>
  <c r="J4" i="11" s="1"/>
  <c r="J6" i="11" s="1"/>
  <c r="J7" i="11" s="1"/>
  <c r="J17" i="11" s="1"/>
  <c r="L21" i="11" l="1"/>
  <c r="L15" i="11"/>
  <c r="L11" i="11"/>
  <c r="L5" i="11"/>
  <c r="M13" i="11"/>
  <c r="M14" i="11"/>
  <c r="M10" i="11"/>
  <c r="M9" i="11"/>
  <c r="M3" i="11"/>
  <c r="K4" i="11" s="1"/>
  <c r="K6" i="11" s="1"/>
  <c r="K7" i="11" s="1"/>
  <c r="K17" i="11" s="1"/>
  <c r="M21" i="11" l="1"/>
  <c r="M15" i="11"/>
  <c r="M11" i="11"/>
  <c r="M5" i="11"/>
  <c r="N13" i="11"/>
  <c r="N9" i="11"/>
  <c r="N14" i="11"/>
  <c r="N10" i="11"/>
  <c r="N3" i="11"/>
  <c r="L4" i="11" s="1"/>
  <c r="L6" i="11" s="1"/>
  <c r="L7" i="11" s="1"/>
  <c r="L17" i="11" s="1"/>
  <c r="E3" i="10"/>
  <c r="N21" i="11" l="1"/>
  <c r="N15" i="11"/>
  <c r="N11" i="11"/>
  <c r="N5" i="11"/>
  <c r="O13" i="11"/>
  <c r="O14" i="11"/>
  <c r="O10" i="11"/>
  <c r="O9" i="11"/>
  <c r="O3" i="11"/>
  <c r="M4" i="11" s="1"/>
  <c r="M6" i="11" s="1"/>
  <c r="M7" i="11" s="1"/>
  <c r="M17" i="11" s="1"/>
  <c r="O21" i="11" l="1"/>
  <c r="O15" i="11"/>
  <c r="O11" i="11"/>
  <c r="O5" i="11"/>
  <c r="P14" i="11"/>
  <c r="P13" i="11"/>
  <c r="P10" i="11"/>
  <c r="P9" i="11"/>
  <c r="P3" i="11"/>
  <c r="N4" i="11" s="1"/>
  <c r="N6" i="11" s="1"/>
  <c r="N7" i="11" s="1"/>
  <c r="N17" i="11" s="1"/>
  <c r="P21" i="11" l="1"/>
  <c r="P15" i="11"/>
  <c r="P11" i="11"/>
  <c r="P5" i="11"/>
  <c r="EE21" i="11"/>
  <c r="ED21" i="11"/>
  <c r="EC21" i="11"/>
  <c r="EB21" i="11"/>
  <c r="EA21" i="11"/>
  <c r="DZ21" i="11"/>
  <c r="DY21" i="11"/>
  <c r="DX21" i="11"/>
  <c r="DW21" i="11"/>
  <c r="DV21" i="11"/>
  <c r="DU21" i="1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O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EE14" i="11"/>
  <c r="ED14" i="11"/>
  <c r="EC14" i="11"/>
  <c r="EB14" i="11"/>
  <c r="EA14" i="11"/>
  <c r="DZ14" i="11"/>
  <c r="DY14" i="11"/>
  <c r="DX14" i="11"/>
  <c r="DW14" i="11"/>
  <c r="DV14" i="11"/>
  <c r="DU14" i="11"/>
  <c r="DT14" i="11"/>
  <c r="DS14" i="11"/>
  <c r="DR14" i="11"/>
  <c r="DQ14" i="11"/>
  <c r="DP14" i="11"/>
  <c r="DO14" i="11"/>
  <c r="DN14" i="11"/>
  <c r="DM14" i="11"/>
  <c r="DL14" i="11"/>
  <c r="DK14" i="11"/>
  <c r="DJ14" i="11"/>
  <c r="DI14" i="11"/>
  <c r="DH14" i="11"/>
  <c r="DG14" i="11"/>
  <c r="DF14" i="11"/>
  <c r="DE14" i="11"/>
  <c r="DD14" i="11"/>
  <c r="DC14" i="11"/>
  <c r="DB14" i="11"/>
  <c r="DA14" i="11"/>
  <c r="DA15" i="11" s="1"/>
  <c r="CZ14" i="11"/>
  <c r="CZ15" i="11" s="1"/>
  <c r="CY14" i="11"/>
  <c r="CY15" i="11" s="1"/>
  <c r="CX14" i="11"/>
  <c r="CX15" i="11" s="1"/>
  <c r="CW14" i="11"/>
  <c r="CW15" i="11" s="1"/>
  <c r="CV14" i="11"/>
  <c r="CU14" i="11"/>
  <c r="CT14" i="11"/>
  <c r="CS14" i="11"/>
  <c r="CR14" i="11"/>
  <c r="CQ14" i="11"/>
  <c r="CQ15" i="11" s="1"/>
  <c r="CP14" i="11"/>
  <c r="CO14" i="11"/>
  <c r="CN14" i="11"/>
  <c r="CM14" i="11"/>
  <c r="CL14" i="11"/>
  <c r="CK14" i="11"/>
  <c r="CJ14" i="11"/>
  <c r="CJ15" i="11" s="1"/>
  <c r="CI14" i="11"/>
  <c r="CH14" i="11"/>
  <c r="CG14" i="11"/>
  <c r="CF14" i="11"/>
  <c r="CE14" i="11"/>
  <c r="CE15" i="11" s="1"/>
  <c r="CD14" i="11"/>
  <c r="CC14" i="11"/>
  <c r="CB14" i="11"/>
  <c r="CA14" i="11"/>
  <c r="BZ14" i="11"/>
  <c r="BY14" i="11"/>
  <c r="BX14" i="11"/>
  <c r="BW14" i="11"/>
  <c r="BV14" i="11"/>
  <c r="BU14" i="11"/>
  <c r="BT14" i="11"/>
  <c r="BS14" i="11"/>
  <c r="BS15" i="11" s="1"/>
  <c r="BR14" i="11"/>
  <c r="BQ14" i="11"/>
  <c r="BP14" i="11"/>
  <c r="BO14" i="11"/>
  <c r="BN14" i="11"/>
  <c r="BM14" i="11"/>
  <c r="BL14" i="11"/>
  <c r="BK14" i="11"/>
  <c r="BJ14" i="11"/>
  <c r="BI14" i="11"/>
  <c r="BH14" i="11"/>
  <c r="BG14" i="11"/>
  <c r="BG15" i="11" s="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I15" i="11" s="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W15" i="11" s="1"/>
  <c r="V14" i="11"/>
  <c r="U14" i="11"/>
  <c r="T14" i="11"/>
  <c r="S14" i="11"/>
  <c r="R14" i="11"/>
  <c r="Q14" i="11"/>
  <c r="EE13" i="11"/>
  <c r="ED13" i="11"/>
  <c r="EC13" i="11"/>
  <c r="EB13" i="11"/>
  <c r="EA13" i="11"/>
  <c r="DZ13" i="11"/>
  <c r="DY13" i="11"/>
  <c r="DX13" i="11"/>
  <c r="DW13" i="11"/>
  <c r="DV13" i="11"/>
  <c r="DU13" i="11"/>
  <c r="DT13" i="11"/>
  <c r="DS13" i="11"/>
  <c r="DR13" i="11"/>
  <c r="DQ13" i="11"/>
  <c r="DP13" i="11"/>
  <c r="DO13" i="11"/>
  <c r="DN13" i="11"/>
  <c r="DM13" i="11"/>
  <c r="DL13" i="11"/>
  <c r="DK13" i="11"/>
  <c r="DJ13" i="11"/>
  <c r="DI13" i="11"/>
  <c r="DH13" i="11"/>
  <c r="DG13" i="11"/>
  <c r="DF13" i="11"/>
  <c r="DE13" i="11"/>
  <c r="DD13" i="11"/>
  <c r="DC13" i="11"/>
  <c r="DB13" i="11"/>
  <c r="CV13" i="11"/>
  <c r="CU13" i="11"/>
  <c r="CT13" i="11"/>
  <c r="CS13" i="11"/>
  <c r="CR13" i="11"/>
  <c r="CQ13" i="11"/>
  <c r="CP13" i="11"/>
  <c r="CO13" i="11"/>
  <c r="CN13" i="11"/>
  <c r="CM13" i="11"/>
  <c r="CL13" i="11"/>
  <c r="CK13" i="11"/>
  <c r="CI13" i="11"/>
  <c r="CI15" i="11" s="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W15" i="11" s="1"/>
  <c r="BV13" i="11"/>
  <c r="BU13" i="11"/>
  <c r="BT13" i="11"/>
  <c r="BS13" i="11"/>
  <c r="BR13" i="11"/>
  <c r="BQ13" i="11"/>
  <c r="BP13" i="11"/>
  <c r="BO13" i="11"/>
  <c r="BN13" i="11"/>
  <c r="BM13" i="11"/>
  <c r="BL13" i="11"/>
  <c r="BK13" i="11"/>
  <c r="BK15" i="11" s="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Y15" i="11" s="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M15" i="11" s="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AA15" i="11" s="1"/>
  <c r="Z13" i="11"/>
  <c r="Y13" i="11"/>
  <c r="X13" i="11"/>
  <c r="W13" i="11"/>
  <c r="V13" i="11"/>
  <c r="U13" i="11"/>
  <c r="T13" i="11"/>
  <c r="S13" i="11"/>
  <c r="R13" i="11"/>
  <c r="Q13" i="11"/>
  <c r="DS10" i="11"/>
  <c r="DR10" i="11"/>
  <c r="DQ10" i="11"/>
  <c r="DP10" i="11"/>
  <c r="DO10" i="11"/>
  <c r="DN10" i="11"/>
  <c r="DM10" i="11"/>
  <c r="DL10" i="11"/>
  <c r="DK10" i="11"/>
  <c r="DJ10" i="11"/>
  <c r="DI10" i="11"/>
  <c r="DH10" i="11"/>
  <c r="DG10" i="11"/>
  <c r="DF10" i="11"/>
  <c r="DE10" i="11"/>
  <c r="DD10" i="11"/>
  <c r="DC10" i="11"/>
  <c r="DB10" i="11"/>
  <c r="DA10" i="11"/>
  <c r="DA11" i="11" s="1"/>
  <c r="CZ10" i="11"/>
  <c r="CZ11" i="11" s="1"/>
  <c r="CY10" i="11"/>
  <c r="CY11" i="11" s="1"/>
  <c r="CX10" i="11"/>
  <c r="CX11" i="11" s="1"/>
  <c r="CW10" i="11"/>
  <c r="CW11" i="11" s="1"/>
  <c r="CV10" i="11"/>
  <c r="CU10" i="11"/>
  <c r="CT10" i="11"/>
  <c r="CS10" i="11"/>
  <c r="CR10" i="11"/>
  <c r="CQ10" i="11"/>
  <c r="CP10" i="11"/>
  <c r="CO10" i="11"/>
  <c r="CN10" i="11"/>
  <c r="CM10" i="11"/>
  <c r="CL10" i="11"/>
  <c r="CK10" i="11"/>
  <c r="CJ10" i="11"/>
  <c r="CI10" i="11"/>
  <c r="CH10" i="11"/>
  <c r="CG10" i="11"/>
  <c r="CF10" i="11"/>
  <c r="CE10" i="11"/>
  <c r="CD10" i="11"/>
  <c r="CC10" i="11"/>
  <c r="CB10" i="11"/>
  <c r="CA10" i="1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DS9" i="11"/>
  <c r="DR9" i="11"/>
  <c r="DQ9" i="11"/>
  <c r="DP9" i="11"/>
  <c r="DO9" i="11"/>
  <c r="DN9" i="11"/>
  <c r="DN11" i="11" s="1"/>
  <c r="DM9" i="11"/>
  <c r="DL9" i="11"/>
  <c r="DK9" i="11"/>
  <c r="DK11" i="11" s="1"/>
  <c r="DJ9" i="11"/>
  <c r="DI9" i="11"/>
  <c r="DH9" i="11"/>
  <c r="DG9" i="11"/>
  <c r="DF9" i="11"/>
  <c r="DE9" i="11"/>
  <c r="DD9" i="11"/>
  <c r="DC9" i="11"/>
  <c r="DB9" i="11"/>
  <c r="DB11" i="11" s="1"/>
  <c r="CV9" i="11"/>
  <c r="CU9" i="11"/>
  <c r="CT9" i="11"/>
  <c r="CS9" i="11"/>
  <c r="CR9" i="11"/>
  <c r="CQ9" i="11"/>
  <c r="CP9" i="11"/>
  <c r="CO9" i="11"/>
  <c r="CN9" i="11"/>
  <c r="CM9" i="11"/>
  <c r="CM11" i="11" s="1"/>
  <c r="CL9" i="11"/>
  <c r="CK9" i="11"/>
  <c r="CJ9" i="11"/>
  <c r="CI9" i="11"/>
  <c r="CH9" i="11"/>
  <c r="CG9" i="11"/>
  <c r="CF9" i="11"/>
  <c r="CE9" i="11"/>
  <c r="CD9" i="11"/>
  <c r="CC9" i="11"/>
  <c r="CB9" i="11"/>
  <c r="CA9" i="11"/>
  <c r="CA11" i="11" s="1"/>
  <c r="BZ9" i="11"/>
  <c r="BY9" i="11"/>
  <c r="BX9" i="11"/>
  <c r="BW9" i="11"/>
  <c r="BV9" i="11"/>
  <c r="BU9" i="11"/>
  <c r="BT9" i="11"/>
  <c r="BS9" i="11"/>
  <c r="BR9" i="11"/>
  <c r="BQ9" i="11"/>
  <c r="BP9" i="11"/>
  <c r="BO9" i="11"/>
  <c r="BO11" i="11" s="1"/>
  <c r="BN9" i="11"/>
  <c r="BM9" i="11"/>
  <c r="BL9" i="11"/>
  <c r="BK9" i="11"/>
  <c r="BJ9" i="11"/>
  <c r="BI9" i="11"/>
  <c r="BH9" i="11"/>
  <c r="BG9" i="11"/>
  <c r="BF9" i="11"/>
  <c r="BE9" i="11"/>
  <c r="BD9" i="11"/>
  <c r="BC9" i="11"/>
  <c r="BC11" i="11" s="1"/>
  <c r="BB9" i="11"/>
  <c r="BA9" i="11"/>
  <c r="AZ9" i="11"/>
  <c r="AY9" i="11"/>
  <c r="AX9" i="11"/>
  <c r="AW9" i="11"/>
  <c r="AV9" i="11"/>
  <c r="AU9" i="11"/>
  <c r="AT9" i="11"/>
  <c r="AS9" i="11"/>
  <c r="AR9" i="11"/>
  <c r="AQ9" i="11"/>
  <c r="AQ11" i="11" s="1"/>
  <c r="AP9" i="11"/>
  <c r="AO9" i="11"/>
  <c r="AN9" i="11"/>
  <c r="AM9" i="11"/>
  <c r="AL9" i="11"/>
  <c r="AK9" i="11"/>
  <c r="AJ9" i="11"/>
  <c r="AI9" i="11"/>
  <c r="AH9" i="11"/>
  <c r="AG9" i="11"/>
  <c r="AF9" i="11"/>
  <c r="AE9" i="11"/>
  <c r="AE11" i="11" s="1"/>
  <c r="AD9" i="11"/>
  <c r="AC9" i="11"/>
  <c r="AB9" i="11"/>
  <c r="AA9" i="11"/>
  <c r="Z9" i="11"/>
  <c r="Y9" i="11"/>
  <c r="X9" i="11"/>
  <c r="W9" i="11"/>
  <c r="V9" i="11"/>
  <c r="U9" i="11"/>
  <c r="T9" i="11"/>
  <c r="S9" i="11"/>
  <c r="S11" i="11" s="1"/>
  <c r="R9" i="11"/>
  <c r="Q9" i="11"/>
  <c r="AB5" i="11"/>
  <c r="AA5" i="11"/>
  <c r="Z5" i="11"/>
  <c r="Y5" i="11"/>
  <c r="X5" i="11"/>
  <c r="W5" i="11"/>
  <c r="V5" i="11"/>
  <c r="U5" i="11"/>
  <c r="T5" i="11"/>
  <c r="S5" i="11"/>
  <c r="R5" i="11"/>
  <c r="Q5" i="11"/>
  <c r="EE4" i="11"/>
  <c r="EE6" i="11" s="1"/>
  <c r="EE7" i="11" s="1"/>
  <c r="ED4" i="11"/>
  <c r="ED6" i="11" s="1"/>
  <c r="ED7" i="11" s="1"/>
  <c r="EC4" i="11"/>
  <c r="EC6" i="11" s="1"/>
  <c r="EC7" i="11" s="1"/>
  <c r="EB4" i="11"/>
  <c r="EB6" i="11" s="1"/>
  <c r="EB7" i="11" s="1"/>
  <c r="EA4" i="11"/>
  <c r="EA6" i="11" s="1"/>
  <c r="EA7" i="11" s="1"/>
  <c r="DZ4" i="11"/>
  <c r="DZ6" i="11" s="1"/>
  <c r="DZ7" i="11" s="1"/>
  <c r="DY4" i="11"/>
  <c r="DY6" i="11" s="1"/>
  <c r="DY7" i="11" s="1"/>
  <c r="DX4" i="11"/>
  <c r="DX6" i="11" s="1"/>
  <c r="DX7" i="11" s="1"/>
  <c r="DW4" i="11"/>
  <c r="DW6" i="11" s="1"/>
  <c r="DW7" i="11" s="1"/>
  <c r="DV4" i="11"/>
  <c r="DV6" i="11" s="1"/>
  <c r="DV7" i="11" s="1"/>
  <c r="DU4" i="11"/>
  <c r="DU6" i="11" s="1"/>
  <c r="DU7" i="11" s="1"/>
  <c r="DT4" i="11"/>
  <c r="DT6" i="11" s="1"/>
  <c r="DT7" i="11" s="1"/>
  <c r="DS4" i="11"/>
  <c r="DS6" i="11" s="1"/>
  <c r="DS7" i="11" s="1"/>
  <c r="DR4" i="11"/>
  <c r="DR6" i="11" s="1"/>
  <c r="DR7" i="11" s="1"/>
  <c r="DQ4" i="11"/>
  <c r="DQ6" i="11" s="1"/>
  <c r="DQ7" i="11" s="1"/>
  <c r="DP4" i="11"/>
  <c r="DP6" i="11" s="1"/>
  <c r="DP7" i="11" s="1"/>
  <c r="DO4" i="11"/>
  <c r="DO6" i="11" s="1"/>
  <c r="DO7" i="11" s="1"/>
  <c r="DN4" i="11"/>
  <c r="DN6" i="11" s="1"/>
  <c r="DN7" i="11" s="1"/>
  <c r="DM4" i="11"/>
  <c r="DM6" i="11" s="1"/>
  <c r="DM7" i="11" s="1"/>
  <c r="DL4" i="11"/>
  <c r="DL6" i="11" s="1"/>
  <c r="DL7" i="11" s="1"/>
  <c r="DH4" i="11"/>
  <c r="DH6" i="11" s="1"/>
  <c r="DH7" i="11" s="1"/>
  <c r="CV4" i="11"/>
  <c r="CV6" i="11" s="1"/>
  <c r="CV7" i="11" s="1"/>
  <c r="CU4" i="11"/>
  <c r="CU6" i="11" s="1"/>
  <c r="CU7" i="11" s="1"/>
  <c r="CT4" i="11"/>
  <c r="CT6" i="11" s="1"/>
  <c r="CT7" i="11" s="1"/>
  <c r="CS4" i="11"/>
  <c r="CS6" i="11" s="1"/>
  <c r="CS7" i="11" s="1"/>
  <c r="CR4" i="11"/>
  <c r="CR6" i="11" s="1"/>
  <c r="CR7" i="11" s="1"/>
  <c r="CQ4" i="11"/>
  <c r="CQ6" i="11" s="1"/>
  <c r="CQ7" i="11" s="1"/>
  <c r="CP4" i="11"/>
  <c r="CP6" i="11" s="1"/>
  <c r="CP7" i="11" s="1"/>
  <c r="CO4" i="11"/>
  <c r="CO6" i="11" s="1"/>
  <c r="CO7" i="11" s="1"/>
  <c r="CN4" i="11"/>
  <c r="CN6" i="11" s="1"/>
  <c r="CN7" i="11" s="1"/>
  <c r="CM4" i="11"/>
  <c r="CM6" i="11" s="1"/>
  <c r="CM7" i="11" s="1"/>
  <c r="CL4" i="11"/>
  <c r="CL6" i="11" s="1"/>
  <c r="CL7" i="11" s="1"/>
  <c r="CK4" i="11"/>
  <c r="CK6" i="11" s="1"/>
  <c r="CK7" i="11" s="1"/>
  <c r="CJ4" i="11"/>
  <c r="CJ6" i="11" s="1"/>
  <c r="CJ7" i="11" s="1"/>
  <c r="CI4" i="11"/>
  <c r="CI6" i="11" s="1"/>
  <c r="CI7" i="11" s="1"/>
  <c r="CH4" i="11"/>
  <c r="CH6" i="11" s="1"/>
  <c r="CH7" i="11" s="1"/>
  <c r="CG4" i="11"/>
  <c r="CG6" i="11" s="1"/>
  <c r="CG7" i="11" s="1"/>
  <c r="CF4" i="11"/>
  <c r="CF6" i="11" s="1"/>
  <c r="CF7" i="11" s="1"/>
  <c r="CE4" i="11"/>
  <c r="CE6" i="11" s="1"/>
  <c r="CE7" i="11" s="1"/>
  <c r="CD4" i="11"/>
  <c r="CD6" i="11" s="1"/>
  <c r="CD7" i="11" s="1"/>
  <c r="CC4" i="11"/>
  <c r="CC6" i="11" s="1"/>
  <c r="CC7" i="11" s="1"/>
  <c r="CB4" i="11"/>
  <c r="CB6" i="11" s="1"/>
  <c r="CB7" i="11" s="1"/>
  <c r="CA4" i="11"/>
  <c r="CA6" i="11" s="1"/>
  <c r="CA7" i="11" s="1"/>
  <c r="BZ4" i="11"/>
  <c r="BZ6" i="11" s="1"/>
  <c r="BZ7" i="11" s="1"/>
  <c r="BY4" i="11"/>
  <c r="BY6" i="11" s="1"/>
  <c r="BY7" i="11" s="1"/>
  <c r="BX4" i="11"/>
  <c r="BX6" i="11" s="1"/>
  <c r="BX7" i="11" s="1"/>
  <c r="BW4" i="11"/>
  <c r="BW6" i="11" s="1"/>
  <c r="BW7" i="11" s="1"/>
  <c r="BV4" i="11"/>
  <c r="BV6" i="11" s="1"/>
  <c r="BV7" i="11" s="1"/>
  <c r="BU4" i="11"/>
  <c r="BU6" i="11" s="1"/>
  <c r="BU7" i="11" s="1"/>
  <c r="BT4" i="11"/>
  <c r="BT6" i="11" s="1"/>
  <c r="BT7" i="11" s="1"/>
  <c r="BS4" i="11"/>
  <c r="BS6" i="11" s="1"/>
  <c r="BS7" i="11" s="1"/>
  <c r="BR4" i="11"/>
  <c r="BR6" i="11" s="1"/>
  <c r="BR7" i="11" s="1"/>
  <c r="DK3" i="11"/>
  <c r="DK4" i="11" s="1"/>
  <c r="DK6" i="11" s="1"/>
  <c r="DK7" i="11" s="1"/>
  <c r="DJ3" i="11"/>
  <c r="DG3" i="11"/>
  <c r="DG4" i="11" s="1"/>
  <c r="DG6" i="11" s="1"/>
  <c r="DG7" i="11" s="1"/>
  <c r="CZ3" i="11"/>
  <c r="BQ3" i="11"/>
  <c r="BQ4" i="11" s="1"/>
  <c r="BQ6" i="11" s="1"/>
  <c r="BQ7" i="11" s="1"/>
  <c r="BP3" i="11"/>
  <c r="BO3" i="11"/>
  <c r="BN3" i="11"/>
  <c r="BM3" i="11"/>
  <c r="BL3" i="11"/>
  <c r="BL4" i="11" s="1"/>
  <c r="BL6" i="11" s="1"/>
  <c r="BL7" i="11" s="1"/>
  <c r="BK3" i="11"/>
  <c r="BJ3" i="11"/>
  <c r="BI3" i="11"/>
  <c r="BH3" i="11"/>
  <c r="BG3" i="11"/>
  <c r="BF3" i="11"/>
  <c r="BE3" i="11"/>
  <c r="BD3" i="11"/>
  <c r="BC3" i="11"/>
  <c r="BB3" i="11"/>
  <c r="BA3" i="11"/>
  <c r="AZ3" i="11"/>
  <c r="AY3" i="11"/>
  <c r="AX3" i="11"/>
  <c r="AW3" i="11"/>
  <c r="AV3" i="11"/>
  <c r="AU3" i="11"/>
  <c r="AT3" i="11"/>
  <c r="AS3" i="11"/>
  <c r="AR3" i="11"/>
  <c r="AQ3" i="11"/>
  <c r="AP3" i="11"/>
  <c r="AO3" i="11"/>
  <c r="AN3" i="11"/>
  <c r="AN4" i="11" s="1"/>
  <c r="AN6" i="11" s="1"/>
  <c r="AN7" i="11" s="1"/>
  <c r="AM3" i="11"/>
  <c r="AL3" i="11"/>
  <c r="AK3" i="11"/>
  <c r="AJ3" i="11"/>
  <c r="AI3" i="11"/>
  <c r="AH3" i="11"/>
  <c r="AG3" i="11"/>
  <c r="AF3" i="11"/>
  <c r="AE3" i="11"/>
  <c r="AD3" i="11"/>
  <c r="AC3" i="11"/>
  <c r="AB3" i="11"/>
  <c r="AB4" i="11" s="1"/>
  <c r="AB6" i="11" s="1"/>
  <c r="AB7" i="11" s="1"/>
  <c r="AA3" i="11"/>
  <c r="Z3" i="11"/>
  <c r="Y3" i="11"/>
  <c r="X3" i="11"/>
  <c r="W3" i="11"/>
  <c r="V3" i="11"/>
  <c r="U3" i="11"/>
  <c r="T3" i="11"/>
  <c r="S3" i="11"/>
  <c r="R3" i="11"/>
  <c r="Q3" i="11"/>
  <c r="O4" i="11" s="1"/>
  <c r="O6" i="11" s="1"/>
  <c r="O7" i="11" s="1"/>
  <c r="O17" i="11" s="1"/>
  <c r="E13" i="10"/>
  <c r="E9" i="10"/>
  <c r="E14" i="10"/>
  <c r="E10" i="10"/>
  <c r="CH11" i="11" l="1"/>
  <c r="AI4" i="11"/>
  <c r="AI6" i="11" s="1"/>
  <c r="AI7" i="11" s="1"/>
  <c r="W4" i="11"/>
  <c r="W6" i="11" s="1"/>
  <c r="W7" i="11" s="1"/>
  <c r="AU4" i="11"/>
  <c r="AU6" i="11" s="1"/>
  <c r="AU7" i="11" s="1"/>
  <c r="DE11" i="11"/>
  <c r="AA4" i="11"/>
  <c r="AA6" i="11" s="1"/>
  <c r="AA7" i="11" s="1"/>
  <c r="AM4" i="11"/>
  <c r="AM6" i="11" s="1"/>
  <c r="AM7" i="11" s="1"/>
  <c r="BK4" i="11"/>
  <c r="BK6" i="11" s="1"/>
  <c r="BK7" i="11" s="1"/>
  <c r="DD11" i="11"/>
  <c r="DP11" i="11"/>
  <c r="DF11" i="11"/>
  <c r="DR11" i="11"/>
  <c r="BG4" i="11"/>
  <c r="BG6" i="11" s="1"/>
  <c r="BG7" i="11" s="1"/>
  <c r="W11" i="11"/>
  <c r="AI11" i="11"/>
  <c r="AI17" i="11" s="1"/>
  <c r="AU11" i="11"/>
  <c r="BG11" i="11"/>
  <c r="BS11" i="11"/>
  <c r="BS17" i="11" s="1"/>
  <c r="CE11" i="11"/>
  <c r="CE17" i="11" s="1"/>
  <c r="CQ11" i="11"/>
  <c r="CQ17" i="11" s="1"/>
  <c r="AF4" i="11"/>
  <c r="AF6" i="11" s="1"/>
  <c r="AF7" i="11" s="1"/>
  <c r="X11" i="11"/>
  <c r="AJ11" i="11"/>
  <c r="AV11" i="11"/>
  <c r="BH11" i="11"/>
  <c r="BT11" i="11"/>
  <c r="CF11" i="11"/>
  <c r="CR11" i="11"/>
  <c r="CL11" i="11"/>
  <c r="Y11" i="11"/>
  <c r="AK11" i="11"/>
  <c r="AW11" i="11"/>
  <c r="BI11" i="11"/>
  <c r="BU11" i="11"/>
  <c r="CG11" i="11"/>
  <c r="CS11" i="11"/>
  <c r="DC11" i="11"/>
  <c r="AY4" i="11"/>
  <c r="AY6" i="11" s="1"/>
  <c r="AY7" i="11" s="1"/>
  <c r="AZ4" i="11"/>
  <c r="AZ6" i="11" s="1"/>
  <c r="AZ7" i="11" s="1"/>
  <c r="DO11" i="11"/>
  <c r="V4" i="11"/>
  <c r="V6" i="11" s="1"/>
  <c r="V7" i="11" s="1"/>
  <c r="CZ4" i="11"/>
  <c r="CZ6" i="11" s="1"/>
  <c r="CZ7" i="11" s="1"/>
  <c r="DC15" i="11"/>
  <c r="DO15" i="11"/>
  <c r="EA15" i="11"/>
  <c r="Z11" i="11"/>
  <c r="AL11" i="11"/>
  <c r="AX11" i="11"/>
  <c r="BJ11" i="11"/>
  <c r="BV11" i="11"/>
  <c r="CT11" i="11"/>
  <c r="CU15" i="11"/>
  <c r="EE15" i="11"/>
  <c r="S4" i="11"/>
  <c r="S6" i="11" s="1"/>
  <c r="S7" i="11" s="1"/>
  <c r="AE4" i="11"/>
  <c r="AE6" i="11" s="1"/>
  <c r="AE7" i="11" s="1"/>
  <c r="R11" i="11"/>
  <c r="Q4" i="11"/>
  <c r="Q6" i="11" s="1"/>
  <c r="Q7" i="11" s="1"/>
  <c r="P4" i="11"/>
  <c r="P6" i="11" s="1"/>
  <c r="P7" i="11" s="1"/>
  <c r="P17" i="11" s="1"/>
  <c r="AC4" i="11"/>
  <c r="AC6" i="11" s="1"/>
  <c r="AC7" i="11" s="1"/>
  <c r="AO4" i="11"/>
  <c r="AO6" i="11" s="1"/>
  <c r="AO7" i="11" s="1"/>
  <c r="BA4" i="11"/>
  <c r="BA6" i="11" s="1"/>
  <c r="BA7" i="11" s="1"/>
  <c r="BM4" i="11"/>
  <c r="BM6" i="11" s="1"/>
  <c r="BM7" i="11" s="1"/>
  <c r="DJ11" i="11"/>
  <c r="T4" i="11"/>
  <c r="T6" i="11" s="1"/>
  <c r="T7" i="11" s="1"/>
  <c r="AR4" i="11"/>
  <c r="AR6" i="11" s="1"/>
  <c r="AR7" i="11" s="1"/>
  <c r="BD4" i="11"/>
  <c r="BD6" i="11" s="1"/>
  <c r="BD7" i="11" s="1"/>
  <c r="BP4" i="11"/>
  <c r="BP6" i="11" s="1"/>
  <c r="BP7" i="11" s="1"/>
  <c r="DM11" i="11"/>
  <c r="DG15" i="11"/>
  <c r="DS15" i="11"/>
  <c r="Q11" i="11"/>
  <c r="AC11" i="11"/>
  <c r="AO11" i="11"/>
  <c r="BA11" i="11"/>
  <c r="BM11" i="11"/>
  <c r="BY11" i="11"/>
  <c r="CK11" i="11"/>
  <c r="AD11" i="11"/>
  <c r="AP11" i="11"/>
  <c r="BB11" i="11"/>
  <c r="BN11" i="11"/>
  <c r="BZ11" i="11"/>
  <c r="Q15" i="11"/>
  <c r="AC15" i="11"/>
  <c r="AO15" i="11"/>
  <c r="BA15" i="11"/>
  <c r="BM15" i="11"/>
  <c r="BY15" i="11"/>
  <c r="CK15" i="11"/>
  <c r="CK17" i="11" s="1"/>
  <c r="DI15" i="11"/>
  <c r="DU15" i="11"/>
  <c r="DU17" i="11" s="1"/>
  <c r="AU15" i="11"/>
  <c r="R15" i="11"/>
  <c r="AD15" i="11"/>
  <c r="AP15" i="11"/>
  <c r="BB15" i="11"/>
  <c r="BN15" i="11"/>
  <c r="BZ15" i="11"/>
  <c r="CL15" i="11"/>
  <c r="DJ15" i="11"/>
  <c r="DV15" i="11"/>
  <c r="DV17" i="11" s="1"/>
  <c r="DI11" i="11"/>
  <c r="T11" i="11"/>
  <c r="AF11" i="11"/>
  <c r="AR11" i="11"/>
  <c r="BD11" i="11"/>
  <c r="BP11" i="11"/>
  <c r="CB11" i="11"/>
  <c r="CN11" i="11"/>
  <c r="DQ11" i="11"/>
  <c r="S15" i="11"/>
  <c r="AE15" i="11"/>
  <c r="AQ15" i="11"/>
  <c r="BC15" i="11"/>
  <c r="U11" i="11"/>
  <c r="AS11" i="11"/>
  <c r="BE11" i="11"/>
  <c r="BQ11" i="11"/>
  <c r="CC11" i="11"/>
  <c r="CO11" i="11"/>
  <c r="DL11" i="11"/>
  <c r="AG11" i="11"/>
  <c r="V11" i="11"/>
  <c r="AH11" i="11"/>
  <c r="AT11" i="11"/>
  <c r="BF11" i="11"/>
  <c r="BR11" i="11"/>
  <c r="CD11" i="11"/>
  <c r="CP11" i="11"/>
  <c r="DG11" i="11"/>
  <c r="DS11" i="11"/>
  <c r="DS17" i="11" s="1"/>
  <c r="DH11" i="11"/>
  <c r="BO15" i="11"/>
  <c r="CA15" i="11"/>
  <c r="CA17" i="11" s="1"/>
  <c r="CM15" i="11"/>
  <c r="CM17" i="11" s="1"/>
  <c r="DK15" i="11"/>
  <c r="DK17" i="11" s="1"/>
  <c r="DW15" i="11"/>
  <c r="DW17" i="11" s="1"/>
  <c r="R4" i="11"/>
  <c r="R6" i="11" s="1"/>
  <c r="R7" i="11" s="1"/>
  <c r="AD4" i="11"/>
  <c r="AD6" i="11" s="1"/>
  <c r="AD7" i="11" s="1"/>
  <c r="AP4" i="11"/>
  <c r="AP6" i="11" s="1"/>
  <c r="AP7" i="11" s="1"/>
  <c r="BB4" i="11"/>
  <c r="BB6" i="11" s="1"/>
  <c r="BB7" i="11" s="1"/>
  <c r="BN4" i="11"/>
  <c r="BN6" i="11" s="1"/>
  <c r="BN7" i="11" s="1"/>
  <c r="T15" i="11"/>
  <c r="AF15" i="11"/>
  <c r="AR15" i="11"/>
  <c r="BD15" i="11"/>
  <c r="BP15" i="11"/>
  <c r="CB15" i="11"/>
  <c r="CN15" i="11"/>
  <c r="DL15" i="11"/>
  <c r="DX15" i="11"/>
  <c r="DX17" i="11" s="1"/>
  <c r="AQ4" i="11"/>
  <c r="AQ6" i="11" s="1"/>
  <c r="AQ7" i="11" s="1"/>
  <c r="BC4" i="11"/>
  <c r="BC6" i="11" s="1"/>
  <c r="BC7" i="11" s="1"/>
  <c r="BO4" i="11"/>
  <c r="BO6" i="11" s="1"/>
  <c r="BO7" i="11" s="1"/>
  <c r="U15" i="11"/>
  <c r="AG15" i="11"/>
  <c r="AS15" i="11"/>
  <c r="BE15" i="11"/>
  <c r="BQ15" i="11"/>
  <c r="CC15" i="11"/>
  <c r="CO15" i="11"/>
  <c r="DM15" i="11"/>
  <c r="DY15" i="11"/>
  <c r="DY17" i="11" s="1"/>
  <c r="V15" i="11"/>
  <c r="AH15" i="11"/>
  <c r="AT15" i="11"/>
  <c r="BF15" i="11"/>
  <c r="BR15" i="11"/>
  <c r="CD15" i="11"/>
  <c r="CP15" i="11"/>
  <c r="DB15" i="11"/>
  <c r="DN15" i="11"/>
  <c r="DN17" i="11" s="1"/>
  <c r="DZ15" i="11"/>
  <c r="DZ17" i="11" s="1"/>
  <c r="U4" i="11"/>
  <c r="U6" i="11" s="1"/>
  <c r="U7" i="11" s="1"/>
  <c r="AG4" i="11"/>
  <c r="AG6" i="11" s="1"/>
  <c r="AG7" i="11" s="1"/>
  <c r="AS4" i="11"/>
  <c r="AS6" i="11" s="1"/>
  <c r="AS7" i="11" s="1"/>
  <c r="BE4" i="11"/>
  <c r="BE6" i="11" s="1"/>
  <c r="BE7" i="11" s="1"/>
  <c r="AA11" i="11"/>
  <c r="AA17" i="11" s="1"/>
  <c r="AM11" i="11"/>
  <c r="AM17" i="11" s="1"/>
  <c r="AY11" i="11"/>
  <c r="BK11" i="11"/>
  <c r="BW11" i="11"/>
  <c r="BW17" i="11" s="1"/>
  <c r="CI11" i="11"/>
  <c r="CI17" i="11" s="1"/>
  <c r="CU11" i="11"/>
  <c r="AH4" i="11"/>
  <c r="AH6" i="11" s="1"/>
  <c r="AH7" i="11" s="1"/>
  <c r="AT4" i="11"/>
  <c r="AT6" i="11" s="1"/>
  <c r="AT7" i="11" s="1"/>
  <c r="BF4" i="11"/>
  <c r="BF6" i="11" s="1"/>
  <c r="BF7" i="11" s="1"/>
  <c r="CX4" i="11"/>
  <c r="CX6" i="11" s="1"/>
  <c r="CX7" i="11" s="1"/>
  <c r="CX17" i="11" s="1"/>
  <c r="AB11" i="11"/>
  <c r="AN11" i="11"/>
  <c r="AZ11" i="11"/>
  <c r="BL11" i="11"/>
  <c r="BX11" i="11"/>
  <c r="CJ11" i="11"/>
  <c r="CJ17" i="11" s="1"/>
  <c r="CV11" i="11"/>
  <c r="X15" i="11"/>
  <c r="AJ15" i="11"/>
  <c r="AV15" i="11"/>
  <c r="BH15" i="11"/>
  <c r="BT15" i="11"/>
  <c r="CF15" i="11"/>
  <c r="CR15" i="11"/>
  <c r="DD15" i="11"/>
  <c r="DP15" i="11"/>
  <c r="EB15" i="11"/>
  <c r="EB17" i="11" s="1"/>
  <c r="Y15" i="11"/>
  <c r="AK15" i="11"/>
  <c r="AW15" i="11"/>
  <c r="BI15" i="11"/>
  <c r="BU15" i="11"/>
  <c r="CG15" i="11"/>
  <c r="CS15" i="11"/>
  <c r="DE15" i="11"/>
  <c r="DQ15" i="11"/>
  <c r="EC15" i="11"/>
  <c r="EC17" i="11" s="1"/>
  <c r="X4" i="11"/>
  <c r="X6" i="11" s="1"/>
  <c r="X7" i="11" s="1"/>
  <c r="AJ4" i="11"/>
  <c r="AJ6" i="11" s="1"/>
  <c r="AJ7" i="11" s="1"/>
  <c r="AV4" i="11"/>
  <c r="AV6" i="11" s="1"/>
  <c r="AV7" i="11" s="1"/>
  <c r="BH4" i="11"/>
  <c r="BH6" i="11" s="1"/>
  <c r="BH7" i="11" s="1"/>
  <c r="DJ4" i="11"/>
  <c r="DJ6" i="11" s="1"/>
  <c r="DJ7" i="11" s="1"/>
  <c r="Z15" i="11"/>
  <c r="AL15" i="11"/>
  <c r="AX15" i="11"/>
  <c r="BJ15" i="11"/>
  <c r="BV15" i="11"/>
  <c r="CH15" i="11"/>
  <c r="CH17" i="11" s="1"/>
  <c r="CT15" i="11"/>
  <c r="DF15" i="11"/>
  <c r="DR15" i="11"/>
  <c r="ED15" i="11"/>
  <c r="ED17" i="11" s="1"/>
  <c r="Y4" i="11"/>
  <c r="Y6" i="11" s="1"/>
  <c r="Y7" i="11" s="1"/>
  <c r="AK4" i="11"/>
  <c r="AK6" i="11" s="1"/>
  <c r="AK7" i="11" s="1"/>
  <c r="AW4" i="11"/>
  <c r="AW6" i="11" s="1"/>
  <c r="AW7" i="11" s="1"/>
  <c r="BI4" i="11"/>
  <c r="BI6" i="11" s="1"/>
  <c r="BI7" i="11" s="1"/>
  <c r="Z4" i="11"/>
  <c r="Z6" i="11" s="1"/>
  <c r="Z7" i="11" s="1"/>
  <c r="AL4" i="11"/>
  <c r="AL6" i="11" s="1"/>
  <c r="AL7" i="11" s="1"/>
  <c r="AX4" i="11"/>
  <c r="AX6" i="11" s="1"/>
  <c r="AX7" i="11" s="1"/>
  <c r="BJ4" i="11"/>
  <c r="BJ6" i="11" s="1"/>
  <c r="BJ7" i="11" s="1"/>
  <c r="AB15" i="11"/>
  <c r="AN15" i="11"/>
  <c r="AZ15" i="11"/>
  <c r="BL15" i="11"/>
  <c r="BX15" i="11"/>
  <c r="CV15" i="11"/>
  <c r="DH15" i="11"/>
  <c r="DT15" i="11"/>
  <c r="DT17" i="11" s="1"/>
  <c r="EE17" i="11"/>
  <c r="CZ17" i="11"/>
  <c r="EA17" i="11"/>
  <c r="CY4" i="11"/>
  <c r="CY6" i="11" s="1"/>
  <c r="CY7" i="11" s="1"/>
  <c r="CY17" i="11" s="1"/>
  <c r="DA4" i="11"/>
  <c r="DA6" i="11" s="1"/>
  <c r="DA7" i="11" s="1"/>
  <c r="DA17" i="11" s="1"/>
  <c r="DB4" i="11"/>
  <c r="DB6" i="11" s="1"/>
  <c r="DB7" i="11" s="1"/>
  <c r="DC4" i="11"/>
  <c r="DC6" i="11" s="1"/>
  <c r="DC7" i="11" s="1"/>
  <c r="DD4" i="11"/>
  <c r="DD6" i="11" s="1"/>
  <c r="DD7" i="11" s="1"/>
  <c r="DE4" i="11"/>
  <c r="DE6" i="11" s="1"/>
  <c r="DE7" i="11" s="1"/>
  <c r="DF4" i="11"/>
  <c r="DF6" i="11" s="1"/>
  <c r="DF7" i="11" s="1"/>
  <c r="CW4" i="11"/>
  <c r="CW6" i="11" s="1"/>
  <c r="CW7" i="11" s="1"/>
  <c r="CW17" i="11" s="1"/>
  <c r="DI4" i="11"/>
  <c r="DI6" i="11" s="1"/>
  <c r="DI7" i="11" s="1"/>
  <c r="E21" i="10"/>
  <c r="E15" i="10"/>
  <c r="E11" i="10"/>
  <c r="E5" i="10"/>
  <c r="E4" i="10"/>
  <c r="E6" i="10" s="1"/>
  <c r="E7" i="10" s="1"/>
  <c r="F13" i="10"/>
  <c r="F9" i="10"/>
  <c r="F14" i="10"/>
  <c r="F10" i="10"/>
  <c r="F3" i="10"/>
  <c r="BL17" i="11" l="1"/>
  <c r="BK17" i="11"/>
  <c r="DM17" i="11"/>
  <c r="BU17" i="11"/>
  <c r="AC17" i="11"/>
  <c r="CS17" i="11"/>
  <c r="CV17" i="11"/>
  <c r="AK17" i="11"/>
  <c r="CG17" i="11"/>
  <c r="DO17" i="11"/>
  <c r="DR17" i="11"/>
  <c r="DP17" i="11"/>
  <c r="BZ17" i="11"/>
  <c r="W17" i="11"/>
  <c r="AF17" i="11"/>
  <c r="BG17" i="11"/>
  <c r="CF17" i="11"/>
  <c r="CP17" i="11"/>
  <c r="DG17" i="11"/>
  <c r="R17" i="11"/>
  <c r="BV17" i="11"/>
  <c r="CL17" i="11"/>
  <c r="AY17" i="11"/>
  <c r="BT17" i="11"/>
  <c r="CT17" i="11"/>
  <c r="CR17" i="11"/>
  <c r="CU17" i="11"/>
  <c r="BX17" i="11"/>
  <c r="AE17" i="11"/>
  <c r="S17" i="11"/>
  <c r="BM17" i="11"/>
  <c r="BR17" i="11"/>
  <c r="U17" i="11"/>
  <c r="AG17" i="11"/>
  <c r="BA17" i="11"/>
  <c r="T17" i="11"/>
  <c r="CO17" i="11"/>
  <c r="DB17" i="11"/>
  <c r="DE17" i="11"/>
  <c r="BE17" i="11"/>
  <c r="BO17" i="11"/>
  <c r="BB17" i="11"/>
  <c r="BQ17" i="11"/>
  <c r="DC17" i="11"/>
  <c r="BH17" i="11"/>
  <c r="AV17" i="11"/>
  <c r="AU17" i="11"/>
  <c r="AJ17" i="11"/>
  <c r="DQ17" i="11"/>
  <c r="AB17" i="11"/>
  <c r="BN17" i="11"/>
  <c r="AO17" i="11"/>
  <c r="DD17" i="11"/>
  <c r="DL17" i="11"/>
  <c r="Q17" i="11"/>
  <c r="CC17" i="11"/>
  <c r="DJ17" i="11"/>
  <c r="DH17" i="11"/>
  <c r="DF17" i="11"/>
  <c r="CD17" i="11"/>
  <c r="AS17" i="11"/>
  <c r="AR17" i="11"/>
  <c r="AX17" i="11"/>
  <c r="BF17" i="11"/>
  <c r="V17" i="11"/>
  <c r="AQ17" i="11"/>
  <c r="AP17" i="11"/>
  <c r="AD17" i="11"/>
  <c r="BC17" i="11"/>
  <c r="BI17" i="11"/>
  <c r="X17" i="11"/>
  <c r="CN17" i="11"/>
  <c r="CB17" i="11"/>
  <c r="BJ17" i="11"/>
  <c r="AH17" i="11"/>
  <c r="BY17" i="11"/>
  <c r="AL17" i="11"/>
  <c r="Z17" i="11"/>
  <c r="AW17" i="11"/>
  <c r="AZ17" i="11"/>
  <c r="Y17" i="11"/>
  <c r="BP17" i="11"/>
  <c r="AT17" i="11"/>
  <c r="DI17" i="11"/>
  <c r="AN17" i="11"/>
  <c r="BD17" i="11"/>
  <c r="E17" i="10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<sst xmlns="http://schemas.openxmlformats.org/spreadsheetml/2006/main" count="1158" uniqueCount="62">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</sst>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2" fillId="0" borderId="28" xfId="0" applyFont="1" applyBorder="1" applyAlignment="1">
      <alignment horizontal="right" vertical="center"/>
    </xf>
    <xf numFmtId="44" fontId="1" fillId="0" borderId="32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8AE-6222-41D9-B5C4-F3704E40FC66}">
  <sheetPr>
    <pageSetUpPr fitToPage="1"/>
  </sheetPr>
  <dimension ref="A1:EJ1000"/>
  <sheetViews>
    <sheetView tabSelected="1" topLeftCell="B1" workbookViewId="0">
      <selection activeCell="A9" sqref="A1:A1048576"/>
    </sheetView>
  </sheetViews>
  <sheetFormatPr defaultColWidth="12.625" defaultRowHeight="15" customHeight="1" x14ac:dyDescent="0.2"/>
  <cols>
    <col min="1" max="1" width="43.75" hidden="1" customWidth="1"/>
    <col min="2" max="3" width="8" customWidth="1"/>
    <col min="4" max="4" width="45.625" customWidth="1"/>
    <col min="5" max="7" width="14.75" customWidth="1"/>
    <col min="8" max="16" width="14.75" hidden="1" customWidth="1"/>
    <col min="17" max="19" width="14.75" customWidth="1"/>
    <col min="20" max="21" width="14.75" hidden="1" customWidth="1"/>
    <col min="22" max="65" width="14.25" hidden="1" customWidth="1"/>
    <col min="66" max="68" width="17.75" hidden="1" customWidth="1"/>
    <col min="69" max="70" width="15.25" hidden="1" customWidth="1"/>
    <col min="71" max="95" width="13.25" hidden="1" customWidth="1"/>
    <col min="96" max="96" width="13.625" hidden="1" customWidth="1"/>
    <col min="97" max="97" width="13.25" hidden="1" customWidth="1"/>
    <col min="98" max="98" width="13.375" hidden="1" customWidth="1"/>
    <col min="99" max="105" width="13.25" hidden="1" customWidth="1"/>
    <col min="106" max="107" width="12.875" hidden="1" customWidth="1"/>
    <col min="108" max="108" width="14.25" hidden="1" customWidth="1"/>
    <col min="109" max="110" width="12.875" hidden="1" customWidth="1"/>
    <col min="111" max="112" width="15.5" hidden="1" customWidth="1"/>
    <col min="113" max="118" width="13.75" hidden="1" customWidth="1"/>
    <col min="119" max="119" width="13" hidden="1" customWidth="1"/>
    <col min="120" max="121" width="13.25" hidden="1" customWidth="1"/>
    <col min="122" max="122" width="12" hidden="1" customWidth="1"/>
    <col min="123" max="123" width="9.5" hidden="1" customWidth="1"/>
    <col min="124" max="125" width="12.875" hidden="1" customWidth="1"/>
    <col min="126" max="126" width="10.5" hidden="1" customWidth="1"/>
    <col min="127" max="131" width="11.875" hidden="1" customWidth="1"/>
    <col min="132" max="132" width="12.5" hidden="1" customWidth="1"/>
    <col min="133" max="135" width="9.75" hidden="1" customWidth="1"/>
    <col min="136" max="137" width="7.75" customWidth="1"/>
    <col min="138" max="140" width="8" customWidth="1"/>
  </cols>
  <sheetData>
    <row r="1" spans="1:140" ht="15.75" thickBot="1" x14ac:dyDescent="0.3">
      <c r="A1" s="1" t="s">
        <v>0</v>
      </c>
      <c r="B1" s="1" t="s">
        <v>1</v>
      </c>
      <c r="E1" s="2"/>
      <c r="F1" s="2">
        <v>2025</v>
      </c>
      <c r="Q1" s="110"/>
      <c r="R1" s="73">
        <v>2024</v>
      </c>
      <c r="AC1" s="73"/>
      <c r="AI1" s="17"/>
      <c r="AO1" s="79"/>
      <c r="AP1" s="73"/>
      <c r="AR1" s="17"/>
      <c r="AU1" s="17"/>
      <c r="BA1" s="72"/>
      <c r="BF1" s="67"/>
      <c r="BH1" s="17"/>
      <c r="BI1" s="69"/>
      <c r="BM1" s="67">
        <v>2020</v>
      </c>
      <c r="BN1" s="13">
        <v>2020</v>
      </c>
      <c r="BR1" s="3"/>
      <c r="BS1" s="1"/>
      <c r="BV1" s="85"/>
      <c r="BX1" s="30"/>
      <c r="BY1" s="98">
        <v>2019</v>
      </c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9">
        <v>2018</v>
      </c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100"/>
      <c r="CW1" s="101">
        <v>2017</v>
      </c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102"/>
      <c r="DI1" s="103"/>
      <c r="DJ1" s="104"/>
      <c r="DK1" s="31"/>
      <c r="DL1" s="31"/>
      <c r="DM1" s="31"/>
      <c r="DN1" s="31"/>
      <c r="DO1" s="31"/>
      <c r="DP1" s="86"/>
      <c r="DQ1" s="87"/>
      <c r="DR1" s="87"/>
      <c r="DS1" s="87"/>
      <c r="DT1" s="103">
        <v>2015</v>
      </c>
      <c r="DU1" s="104"/>
      <c r="DV1" s="105"/>
      <c r="DW1" s="86"/>
      <c r="DX1" s="32"/>
      <c r="DY1" s="87"/>
      <c r="DZ1" s="87"/>
      <c r="EA1" s="86"/>
      <c r="EB1" s="86"/>
      <c r="EC1" s="86"/>
      <c r="ED1" s="86"/>
      <c r="EE1" s="87"/>
    </row>
    <row r="2" spans="1:140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81" t="s">
        <v>3</v>
      </c>
      <c r="W2" s="81" t="s">
        <v>4</v>
      </c>
      <c r="X2" s="81" t="s">
        <v>5</v>
      </c>
      <c r="Y2" s="81" t="s">
        <v>6</v>
      </c>
      <c r="Z2" s="81" t="s">
        <v>7</v>
      </c>
      <c r="AA2" s="81" t="s">
        <v>8</v>
      </c>
      <c r="AB2" s="81" t="s">
        <v>9</v>
      </c>
      <c r="AC2" s="81" t="s">
        <v>10</v>
      </c>
      <c r="AD2" s="81" t="s">
        <v>11</v>
      </c>
      <c r="AE2" s="81" t="s">
        <v>12</v>
      </c>
      <c r="AF2" s="81" t="s">
        <v>13</v>
      </c>
      <c r="AG2" s="81" t="s">
        <v>2</v>
      </c>
      <c r="AH2" s="4" t="s">
        <v>3</v>
      </c>
      <c r="AI2" s="81" t="s">
        <v>4</v>
      </c>
      <c r="AJ2" s="81" t="s">
        <v>5</v>
      </c>
      <c r="AK2" s="81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4" t="s">
        <v>14</v>
      </c>
      <c r="AU2" s="4" t="s">
        <v>15</v>
      </c>
      <c r="AV2" s="4" t="s">
        <v>5</v>
      </c>
      <c r="AW2" s="4" t="s">
        <v>6</v>
      </c>
      <c r="AX2" s="4" t="s">
        <v>7</v>
      </c>
      <c r="AY2" s="4" t="s">
        <v>8</v>
      </c>
      <c r="AZ2" s="4" t="s">
        <v>9</v>
      </c>
      <c r="BA2" s="4" t="s">
        <v>10</v>
      </c>
      <c r="BB2" s="4" t="s">
        <v>11</v>
      </c>
      <c r="BC2" s="4" t="s">
        <v>12</v>
      </c>
      <c r="BD2" s="4" t="s">
        <v>13</v>
      </c>
      <c r="BE2" s="4" t="s">
        <v>2</v>
      </c>
      <c r="BF2" s="5" t="s">
        <v>14</v>
      </c>
      <c r="BG2" s="5" t="s">
        <v>15</v>
      </c>
      <c r="BH2" s="5" t="s">
        <v>5</v>
      </c>
      <c r="BI2" s="68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4" t="s">
        <v>23</v>
      </c>
      <c r="BQ2" s="4" t="s">
        <v>24</v>
      </c>
      <c r="BR2" s="5" t="s">
        <v>14</v>
      </c>
      <c r="BS2" s="5" t="s">
        <v>15</v>
      </c>
      <c r="BT2" s="5" t="s">
        <v>5</v>
      </c>
      <c r="BU2" s="34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5" t="s">
        <v>20</v>
      </c>
      <c r="CL2" s="5" t="s">
        <v>21</v>
      </c>
      <c r="CM2" s="5" t="s">
        <v>22</v>
      </c>
      <c r="CN2" s="5" t="s">
        <v>23</v>
      </c>
      <c r="CO2" s="5" t="s">
        <v>24</v>
      </c>
      <c r="CP2" s="5" t="s">
        <v>14</v>
      </c>
      <c r="CQ2" s="5" t="s">
        <v>15</v>
      </c>
      <c r="CR2" s="5" t="s">
        <v>5</v>
      </c>
      <c r="CS2" s="5" t="s">
        <v>16</v>
      </c>
      <c r="CT2" s="5" t="s">
        <v>17</v>
      </c>
      <c r="CU2" s="5" t="s">
        <v>18</v>
      </c>
      <c r="CV2" s="5" t="s">
        <v>19</v>
      </c>
      <c r="CW2" s="35" t="s">
        <v>20</v>
      </c>
      <c r="CX2" s="35" t="s">
        <v>21</v>
      </c>
      <c r="CY2" s="35" t="s">
        <v>22</v>
      </c>
      <c r="CZ2" s="35" t="s">
        <v>23</v>
      </c>
      <c r="DA2" s="35" t="s">
        <v>24</v>
      </c>
      <c r="DB2" s="35" t="s">
        <v>14</v>
      </c>
      <c r="DC2" s="35" t="s">
        <v>15</v>
      </c>
      <c r="DD2" s="35" t="s">
        <v>5</v>
      </c>
      <c r="DE2" s="35" t="s">
        <v>16</v>
      </c>
      <c r="DF2" s="35" t="s">
        <v>17</v>
      </c>
      <c r="DG2" s="35" t="s">
        <v>18</v>
      </c>
      <c r="DH2" s="35" t="s">
        <v>19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  <c r="DT2" s="35" t="s">
        <v>20</v>
      </c>
      <c r="DU2" s="35" t="s">
        <v>21</v>
      </c>
      <c r="DV2" s="35" t="s">
        <v>22</v>
      </c>
      <c r="DW2" s="35" t="s">
        <v>23</v>
      </c>
      <c r="DX2" s="35" t="s">
        <v>24</v>
      </c>
      <c r="DY2" s="35" t="s">
        <v>14</v>
      </c>
      <c r="DZ2" s="35" t="s">
        <v>15</v>
      </c>
      <c r="EA2" s="35" t="s">
        <v>5</v>
      </c>
      <c r="EB2" s="35" t="s">
        <v>16</v>
      </c>
      <c r="EC2" s="35" t="s">
        <v>17</v>
      </c>
      <c r="ED2" s="35" t="s">
        <v>18</v>
      </c>
      <c r="EE2" s="35" t="s">
        <v>19</v>
      </c>
    </row>
    <row r="3" spans="1:140" x14ac:dyDescent="0.25">
      <c r="A3" s="75" t="s">
        <v>25</v>
      </c>
      <c r="D3" s="1" t="s">
        <v>26</v>
      </c>
      <c r="E3" s="1">
        <f>252+18</f>
        <v>270</v>
      </c>
      <c r="F3" s="1">
        <f>259+18</f>
        <v>277</v>
      </c>
      <c r="G3" s="1">
        <f>257+18</f>
        <v>275</v>
      </c>
      <c r="H3" s="1">
        <f>259+18</f>
        <v>277</v>
      </c>
      <c r="I3" s="1">
        <f>256+18</f>
        <v>274</v>
      </c>
      <c r="J3" s="1">
        <f>259+18</f>
        <v>277</v>
      </c>
      <c r="K3" s="1">
        <f>260+18</f>
        <v>278</v>
      </c>
      <c r="L3" s="1">
        <f>262+17</f>
        <v>279</v>
      </c>
      <c r="M3" s="1">
        <f>259+17</f>
        <v>276</v>
      </c>
      <c r="N3" s="1">
        <f>254+17</f>
        <v>271</v>
      </c>
      <c r="O3" s="1">
        <f>252+17</f>
        <v>269</v>
      </c>
      <c r="P3" s="1">
        <f>256+17</f>
        <v>273</v>
      </c>
      <c r="Q3" s="89">
        <f>268+17</f>
        <v>285</v>
      </c>
      <c r="R3" s="15">
        <f>269+17</f>
        <v>286</v>
      </c>
      <c r="S3" s="15">
        <f>274+17</f>
        <v>291</v>
      </c>
      <c r="T3" s="15">
        <f>276+17</f>
        <v>293</v>
      </c>
      <c r="U3" s="15">
        <f>275+17</f>
        <v>292</v>
      </c>
      <c r="V3" s="15">
        <f>277+17</f>
        <v>294</v>
      </c>
      <c r="W3" s="15">
        <f>283+17</f>
        <v>300</v>
      </c>
      <c r="X3" s="15">
        <f>280+16</f>
        <v>296</v>
      </c>
      <c r="Y3" s="15">
        <f>284+16</f>
        <v>300</v>
      </c>
      <c r="Z3" s="15">
        <f>289+16</f>
        <v>305</v>
      </c>
      <c r="AA3" s="15">
        <f>292+16</f>
        <v>308</v>
      </c>
      <c r="AB3" s="15">
        <f>294+16</f>
        <v>310</v>
      </c>
      <c r="AC3" s="15">
        <f>302+16</f>
        <v>318</v>
      </c>
      <c r="AD3" s="15">
        <f>302+17</f>
        <v>319</v>
      </c>
      <c r="AE3" s="15">
        <f>303+17</f>
        <v>320</v>
      </c>
      <c r="AF3" s="15">
        <f>307+17</f>
        <v>324</v>
      </c>
      <c r="AG3" s="15">
        <f>309+17</f>
        <v>326</v>
      </c>
      <c r="AH3" s="15">
        <f>307+17</f>
        <v>324</v>
      </c>
      <c r="AI3" s="15">
        <f>310+17</f>
        <v>327</v>
      </c>
      <c r="AJ3" s="15">
        <f>317+17</f>
        <v>334</v>
      </c>
      <c r="AK3" s="15">
        <f>324+17</f>
        <v>341</v>
      </c>
      <c r="AL3" s="15">
        <f>324+17</f>
        <v>341</v>
      </c>
      <c r="AM3" s="15">
        <f>324+17</f>
        <v>341</v>
      </c>
      <c r="AN3" s="15">
        <f>325+17</f>
        <v>342</v>
      </c>
      <c r="AO3" s="15">
        <f>325+17</f>
        <v>342</v>
      </c>
      <c r="AP3" s="15">
        <f>329+17</f>
        <v>346</v>
      </c>
      <c r="AQ3" s="15">
        <f>324+17</f>
        <v>341</v>
      </c>
      <c r="AR3" s="15">
        <f>326+17</f>
        <v>343</v>
      </c>
      <c r="AS3" s="15">
        <f>325+17</f>
        <v>342</v>
      </c>
      <c r="AT3" s="15">
        <f>322+17</f>
        <v>339</v>
      </c>
      <c r="AU3" s="15">
        <f>324+17</f>
        <v>341</v>
      </c>
      <c r="AV3" s="15">
        <f>326+17</f>
        <v>343</v>
      </c>
      <c r="AW3" s="15">
        <f>325+17</f>
        <v>342</v>
      </c>
      <c r="AX3" s="15">
        <f>326+17</f>
        <v>343</v>
      </c>
      <c r="AY3" s="15">
        <f>335+17</f>
        <v>352</v>
      </c>
      <c r="AZ3" s="15">
        <f>329+17</f>
        <v>346</v>
      </c>
      <c r="BA3" s="15">
        <f>336+17</f>
        <v>353</v>
      </c>
      <c r="BB3" s="15">
        <f>333+17</f>
        <v>350</v>
      </c>
      <c r="BC3" s="15">
        <f>338+17</f>
        <v>355</v>
      </c>
      <c r="BD3" s="15">
        <f>337+17</f>
        <v>354</v>
      </c>
      <c r="BE3" s="15">
        <f>327+17</f>
        <v>344</v>
      </c>
      <c r="BF3" s="15">
        <f>330+17</f>
        <v>347</v>
      </c>
      <c r="BG3" s="15">
        <f>332+17</f>
        <v>349</v>
      </c>
      <c r="BH3" s="15">
        <f>330+17</f>
        <v>347</v>
      </c>
      <c r="BI3" s="15">
        <f>335+17</f>
        <v>352</v>
      </c>
      <c r="BJ3" s="15">
        <f>330+17</f>
        <v>347</v>
      </c>
      <c r="BK3" s="15">
        <f>322+17</f>
        <v>339</v>
      </c>
      <c r="BL3" s="15">
        <f>317+17</f>
        <v>334</v>
      </c>
      <c r="BM3" s="15">
        <f>329+17</f>
        <v>346</v>
      </c>
      <c r="BN3" s="15">
        <f>320+17</f>
        <v>337</v>
      </c>
      <c r="BO3" s="15">
        <f>323+17</f>
        <v>340</v>
      </c>
      <c r="BP3" s="15">
        <f>319+17</f>
        <v>336</v>
      </c>
      <c r="BQ3" s="1">
        <f>325+17</f>
        <v>342</v>
      </c>
      <c r="BR3" s="1">
        <v>334</v>
      </c>
      <c r="BS3" s="1">
        <v>323</v>
      </c>
      <c r="BT3" s="1">
        <v>328</v>
      </c>
      <c r="BU3" s="37">
        <v>326</v>
      </c>
      <c r="BV3" s="1">
        <v>328</v>
      </c>
      <c r="BW3" s="1">
        <v>332</v>
      </c>
      <c r="BX3" s="1">
        <v>349</v>
      </c>
      <c r="BY3" s="1">
        <v>360</v>
      </c>
      <c r="BZ3" s="1">
        <v>360</v>
      </c>
      <c r="CA3" s="1">
        <v>363</v>
      </c>
      <c r="CB3" s="1">
        <v>371</v>
      </c>
      <c r="CC3" s="1">
        <v>378</v>
      </c>
      <c r="CD3" s="1">
        <v>374</v>
      </c>
      <c r="CE3" s="1">
        <v>375</v>
      </c>
      <c r="CF3" s="1">
        <v>376</v>
      </c>
      <c r="CG3" s="1">
        <v>383</v>
      </c>
      <c r="CH3" s="1">
        <v>387</v>
      </c>
      <c r="CI3" s="1">
        <v>386</v>
      </c>
      <c r="CJ3" s="1">
        <v>392</v>
      </c>
      <c r="CK3" s="1">
        <v>405</v>
      </c>
      <c r="CL3" s="1">
        <v>407</v>
      </c>
      <c r="CM3" s="1">
        <v>399</v>
      </c>
      <c r="CN3" s="1">
        <v>396</v>
      </c>
      <c r="CO3" s="1">
        <v>396</v>
      </c>
      <c r="CP3" s="1">
        <v>397</v>
      </c>
      <c r="CQ3" s="1">
        <v>400</v>
      </c>
      <c r="CR3" s="1">
        <v>395</v>
      </c>
      <c r="CS3" s="1">
        <v>387</v>
      </c>
      <c r="CT3" s="1">
        <v>385</v>
      </c>
      <c r="CU3" s="1">
        <v>392</v>
      </c>
      <c r="CV3" s="1">
        <v>397</v>
      </c>
      <c r="CW3" s="1">
        <v>418</v>
      </c>
      <c r="CX3" s="1">
        <v>417</v>
      </c>
      <c r="CY3" s="1">
        <v>421</v>
      </c>
      <c r="CZ3" s="1">
        <f>412+14</f>
        <v>426</v>
      </c>
      <c r="DA3" s="1">
        <v>417</v>
      </c>
      <c r="DB3" s="1">
        <v>424</v>
      </c>
      <c r="DC3" s="1">
        <v>424</v>
      </c>
      <c r="DD3" s="1">
        <v>420</v>
      </c>
      <c r="DE3" s="1">
        <v>420</v>
      </c>
      <c r="DF3" s="1">
        <v>423</v>
      </c>
      <c r="DG3" s="1">
        <f>404+13</f>
        <v>417</v>
      </c>
      <c r="DH3" s="1">
        <v>421</v>
      </c>
      <c r="DI3" s="1">
        <v>451</v>
      </c>
      <c r="DJ3" s="1">
        <f>433+13</f>
        <v>446</v>
      </c>
      <c r="DK3" s="1">
        <f>428+13</f>
        <v>441</v>
      </c>
      <c r="DL3" s="1">
        <v>439</v>
      </c>
      <c r="DM3" s="1">
        <v>431</v>
      </c>
      <c r="DN3" s="1">
        <v>440</v>
      </c>
      <c r="DO3" s="1">
        <v>445</v>
      </c>
      <c r="DP3" s="1">
        <v>441</v>
      </c>
      <c r="DQ3" s="1">
        <v>444</v>
      </c>
      <c r="DR3" s="1">
        <v>441</v>
      </c>
      <c r="DS3" s="1">
        <v>449</v>
      </c>
      <c r="DT3" s="1">
        <v>440</v>
      </c>
      <c r="DU3" s="1">
        <v>438</v>
      </c>
      <c r="DV3" s="1">
        <v>437</v>
      </c>
      <c r="DW3" s="1">
        <v>435</v>
      </c>
      <c r="DX3" s="1">
        <v>433</v>
      </c>
      <c r="DY3" s="1">
        <v>432</v>
      </c>
      <c r="DZ3" s="1">
        <v>430</v>
      </c>
      <c r="EA3" s="1">
        <v>428</v>
      </c>
      <c r="EB3" s="1">
        <v>430</v>
      </c>
      <c r="EC3" s="1">
        <v>426</v>
      </c>
      <c r="ED3" s="1">
        <v>428</v>
      </c>
      <c r="EE3" s="1">
        <v>439</v>
      </c>
    </row>
    <row r="4" spans="1:140" x14ac:dyDescent="0.25">
      <c r="A4" s="75" t="s">
        <v>27</v>
      </c>
      <c r="D4" s="1" t="s">
        <v>28</v>
      </c>
      <c r="E4" s="23">
        <f t="shared" ref="E4:P4" si="0">AVERAGE(E3:G3)</f>
        <v>274</v>
      </c>
      <c r="F4" s="23">
        <f t="shared" si="0"/>
        <v>276.33333333333331</v>
      </c>
      <c r="G4" s="23">
        <f t="shared" si="0"/>
        <v>275.33333333333331</v>
      </c>
      <c r="H4" s="23">
        <f t="shared" si="0"/>
        <v>276</v>
      </c>
      <c r="I4" s="23">
        <f t="shared" si="0"/>
        <v>276.33333333333331</v>
      </c>
      <c r="J4" s="23">
        <f t="shared" si="0"/>
        <v>278</v>
      </c>
      <c r="K4" s="23">
        <f t="shared" si="0"/>
        <v>277.66666666666669</v>
      </c>
      <c r="L4" s="23">
        <f t="shared" si="0"/>
        <v>275.33333333333331</v>
      </c>
      <c r="M4" s="23">
        <f t="shared" si="0"/>
        <v>272</v>
      </c>
      <c r="N4" s="23">
        <f t="shared" si="0"/>
        <v>271</v>
      </c>
      <c r="O4" s="23">
        <f t="shared" si="0"/>
        <v>275.66666666666669</v>
      </c>
      <c r="P4" s="23">
        <f t="shared" si="0"/>
        <v>281.33333333333331</v>
      </c>
      <c r="Q4" s="90">
        <f t="shared" ref="Q4:Z4" si="1">AVERAGE(Q3:S3)</f>
        <v>287.33333333333331</v>
      </c>
      <c r="R4" s="39">
        <f t="shared" si="1"/>
        <v>290</v>
      </c>
      <c r="S4" s="39">
        <f t="shared" si="1"/>
        <v>292</v>
      </c>
      <c r="T4" s="39">
        <f t="shared" si="1"/>
        <v>293</v>
      </c>
      <c r="U4" s="39">
        <f t="shared" si="1"/>
        <v>295.33333333333331</v>
      </c>
      <c r="V4" s="39">
        <f t="shared" si="1"/>
        <v>296.66666666666669</v>
      </c>
      <c r="W4" s="39">
        <f t="shared" si="1"/>
        <v>298.66666666666669</v>
      </c>
      <c r="X4" s="39">
        <f t="shared" si="1"/>
        <v>300.33333333333331</v>
      </c>
      <c r="Y4" s="39">
        <f t="shared" si="1"/>
        <v>304.33333333333331</v>
      </c>
      <c r="Z4" s="39">
        <f t="shared" si="1"/>
        <v>307.66666666666669</v>
      </c>
      <c r="AA4" s="39">
        <f>AVERAGE(AA3:AB3)</f>
        <v>309</v>
      </c>
      <c r="AB4" s="39">
        <f>AVERAGE(AB3:AB3)</f>
        <v>310</v>
      </c>
      <c r="AC4" s="39">
        <f t="shared" ref="AC4:AL4" si="2">AVERAGE(AC3:AE3)</f>
        <v>319</v>
      </c>
      <c r="AD4" s="39">
        <f t="shared" si="2"/>
        <v>321</v>
      </c>
      <c r="AE4" s="39">
        <f t="shared" si="2"/>
        <v>323.33333333333331</v>
      </c>
      <c r="AF4" s="39">
        <f t="shared" si="2"/>
        <v>324.66666666666669</v>
      </c>
      <c r="AG4" s="39">
        <f t="shared" si="2"/>
        <v>325.66666666666669</v>
      </c>
      <c r="AH4" s="39">
        <f t="shared" si="2"/>
        <v>328.33333333333331</v>
      </c>
      <c r="AI4" s="39">
        <f t="shared" si="2"/>
        <v>334</v>
      </c>
      <c r="AJ4" s="39">
        <f t="shared" si="2"/>
        <v>338.66666666666669</v>
      </c>
      <c r="AK4" s="39">
        <f t="shared" si="2"/>
        <v>341</v>
      </c>
      <c r="AL4" s="39">
        <f t="shared" si="2"/>
        <v>341.33333333333331</v>
      </c>
      <c r="AM4" s="39">
        <f>AVERAGE(AM3:AN3)</f>
        <v>341.5</v>
      </c>
      <c r="AN4" s="39">
        <f>AVERAGE(AN3:AN3)</f>
        <v>342</v>
      </c>
      <c r="AO4" s="39">
        <f t="shared" ref="AO4:BI4" si="3">AVERAGE(AO3:AR3)</f>
        <v>343</v>
      </c>
      <c r="AP4" s="39">
        <f t="shared" si="3"/>
        <v>343</v>
      </c>
      <c r="AQ4" s="39">
        <f t="shared" si="3"/>
        <v>341.25</v>
      </c>
      <c r="AR4" s="39">
        <f t="shared" si="3"/>
        <v>341.25</v>
      </c>
      <c r="AS4" s="39">
        <f t="shared" si="3"/>
        <v>341.25</v>
      </c>
      <c r="AT4" s="39">
        <f t="shared" si="3"/>
        <v>341.25</v>
      </c>
      <c r="AU4" s="39">
        <f t="shared" si="3"/>
        <v>342.25</v>
      </c>
      <c r="AV4" s="39">
        <f t="shared" si="3"/>
        <v>345</v>
      </c>
      <c r="AW4" s="39">
        <f t="shared" si="3"/>
        <v>345.75</v>
      </c>
      <c r="AX4" s="39">
        <f t="shared" si="3"/>
        <v>348.5</v>
      </c>
      <c r="AY4" s="39">
        <f t="shared" si="3"/>
        <v>350.25</v>
      </c>
      <c r="AZ4" s="39">
        <f t="shared" si="3"/>
        <v>351</v>
      </c>
      <c r="BA4" s="39">
        <f t="shared" si="3"/>
        <v>353</v>
      </c>
      <c r="BB4" s="39">
        <f t="shared" si="3"/>
        <v>350.75</v>
      </c>
      <c r="BC4" s="39">
        <f t="shared" si="3"/>
        <v>350</v>
      </c>
      <c r="BD4" s="39">
        <f t="shared" si="3"/>
        <v>348.5</v>
      </c>
      <c r="BE4" s="39">
        <f t="shared" si="3"/>
        <v>346.75</v>
      </c>
      <c r="BF4" s="39">
        <f t="shared" si="3"/>
        <v>348.75</v>
      </c>
      <c r="BG4" s="39">
        <f t="shared" si="3"/>
        <v>348.75</v>
      </c>
      <c r="BH4" s="39">
        <f t="shared" si="3"/>
        <v>346.25</v>
      </c>
      <c r="BI4" s="39">
        <f t="shared" si="3"/>
        <v>343</v>
      </c>
      <c r="BJ4" s="39">
        <f>AVERAGE(BJ3:BL3)</f>
        <v>340</v>
      </c>
      <c r="BK4" s="39">
        <f>AVERAGE(BK3:BL3)</f>
        <v>336.5</v>
      </c>
      <c r="BL4" s="39">
        <f>AVERAGE(BL3)</f>
        <v>334</v>
      </c>
      <c r="BM4" s="39">
        <f t="shared" ref="BM4:BR4" si="4">AVERAGE(BM3:BS3)</f>
        <v>336.85714285714283</v>
      </c>
      <c r="BN4" s="39">
        <f t="shared" si="4"/>
        <v>334.28571428571428</v>
      </c>
      <c r="BO4" s="39">
        <f t="shared" si="4"/>
        <v>332.71428571428572</v>
      </c>
      <c r="BP4" s="39">
        <f t="shared" si="4"/>
        <v>331</v>
      </c>
      <c r="BQ4" s="39">
        <f t="shared" si="4"/>
        <v>330.42857142857144</v>
      </c>
      <c r="BR4" s="23">
        <f t="shared" si="4"/>
        <v>331.42857142857144</v>
      </c>
      <c r="BS4" s="23">
        <f>AVERAGE(BS3:BX3)</f>
        <v>331</v>
      </c>
      <c r="BT4" s="23">
        <f>AVERAGE(BT3:BX3)</f>
        <v>332.6</v>
      </c>
      <c r="BU4" s="41">
        <f>AVERAGE(BU3:BX3)</f>
        <v>333.75</v>
      </c>
      <c r="BV4" s="23">
        <f>AVERAGE(BV3:BX3)</f>
        <v>336.33333333333331</v>
      </c>
      <c r="BW4" s="23">
        <f>AVERAGE(BW3:BX3)</f>
        <v>340.5</v>
      </c>
      <c r="BX4" s="23">
        <f>AVERAGE(BX3)</f>
        <v>349</v>
      </c>
      <c r="BY4" s="23">
        <f>AVERAGE(BY3:CJ3)</f>
        <v>375.41666666666669</v>
      </c>
      <c r="BZ4" s="23">
        <f>AVERAGE(BZ3:CJ3)</f>
        <v>376.81818181818181</v>
      </c>
      <c r="CA4" s="23">
        <f>AVERAGE(CA3:CJ3)</f>
        <v>378.5</v>
      </c>
      <c r="CB4" s="23">
        <f>AVERAGE(CB3:CJ3)</f>
        <v>380.22222222222223</v>
      </c>
      <c r="CC4" s="23">
        <f>AVERAGE(CC3:CJ3)</f>
        <v>381.375</v>
      </c>
      <c r="CD4" s="23">
        <f>AVERAGE(CD3:CJ3)</f>
        <v>381.85714285714283</v>
      </c>
      <c r="CE4" s="23">
        <f>AVERAGE(CE3:CJ3)</f>
        <v>383.16666666666669</v>
      </c>
      <c r="CF4" s="23">
        <f>AVERAGE(CF3:CJ3)</f>
        <v>384.8</v>
      </c>
      <c r="CG4" s="23">
        <f>AVERAGE(CG3:CJ3)</f>
        <v>387</v>
      </c>
      <c r="CH4" s="23">
        <f>AVERAGE(CH3:CJ3)</f>
        <v>388.33333333333331</v>
      </c>
      <c r="CI4" s="23">
        <f>AVERAGE(CI3:CJ3)</f>
        <v>389</v>
      </c>
      <c r="CJ4" s="23">
        <f>AVERAGE(CJ3)</f>
        <v>392</v>
      </c>
      <c r="CK4" s="23">
        <f>AVERAGE(CK3:CV3)</f>
        <v>396.33333333333331</v>
      </c>
      <c r="CL4" s="23">
        <f>AVERAGE(CL3:CV3)</f>
        <v>395.54545454545456</v>
      </c>
      <c r="CM4" s="23">
        <f>AVERAGE(CM3:CV3)</f>
        <v>394.4</v>
      </c>
      <c r="CN4" s="23">
        <f>AVERAGE(CN3:CV3)</f>
        <v>393.88888888888891</v>
      </c>
      <c r="CO4" s="23">
        <f>AVERAGE(CO3:CV3)</f>
        <v>393.625</v>
      </c>
      <c r="CP4" s="23">
        <f>AVERAGE(CP3:CV3)</f>
        <v>393.28571428571428</v>
      </c>
      <c r="CQ4" s="23">
        <f>AVERAGE(CQ3:CV3)</f>
        <v>392.66666666666669</v>
      </c>
      <c r="CR4" s="23">
        <f>AVERAGE(CR3:CV3)</f>
        <v>391.2</v>
      </c>
      <c r="CS4" s="23">
        <f>AVERAGE(CS3:CV3)</f>
        <v>390.25</v>
      </c>
      <c r="CT4" s="23">
        <f>AVERAGE(CT3:CV3)</f>
        <v>391.33333333333331</v>
      </c>
      <c r="CU4" s="23">
        <f>AVERAGE(CU3:CV3)</f>
        <v>394.5</v>
      </c>
      <c r="CV4" s="23">
        <f>AVERAGE(CV3)</f>
        <v>397</v>
      </c>
      <c r="CW4" s="23">
        <f>AVERAGE(CW3:DH3)</f>
        <v>420.66666666666669</v>
      </c>
      <c r="CX4" s="23">
        <f>AVERAGE(CX3:DH3)</f>
        <v>420.90909090909093</v>
      </c>
      <c r="CY4" s="23">
        <f>AVERAGE(CY3:DH3)</f>
        <v>421.3</v>
      </c>
      <c r="CZ4" s="23">
        <f>AVERAGE(CZ3:DH3)</f>
        <v>421.33333333333331</v>
      </c>
      <c r="DA4" s="23">
        <f>AVERAGE(DA3:DH3)</f>
        <v>420.75</v>
      </c>
      <c r="DB4" s="23">
        <f>AVERAGE(DB3:DH3)</f>
        <v>421.28571428571428</v>
      </c>
      <c r="DC4" s="23">
        <f>AVERAGE(DC3:DH3)</f>
        <v>420.83333333333331</v>
      </c>
      <c r="DD4" s="23">
        <f>AVERAGE(DD3:DH3)</f>
        <v>420.2</v>
      </c>
      <c r="DE4" s="23">
        <f>AVERAGE(DE3:DH3)</f>
        <v>420.25</v>
      </c>
      <c r="DF4" s="23">
        <f>AVERAGE(DF3:DH3)</f>
        <v>420.33333333333331</v>
      </c>
      <c r="DG4" s="23">
        <f>AVERAGE(DG3:DH3)</f>
        <v>419</v>
      </c>
      <c r="DH4" s="23">
        <f>AVERAGE(DH3)</f>
        <v>421</v>
      </c>
      <c r="DI4" s="23">
        <f>AVERAGE(DI3:DS3)</f>
        <v>442.54545454545456</v>
      </c>
      <c r="DJ4" s="23">
        <f>AVERAGE(DJ3:DS3)</f>
        <v>441.7</v>
      </c>
      <c r="DK4" s="23">
        <f>AVERAGE(DK3:DS3)</f>
        <v>441.22222222222223</v>
      </c>
      <c r="DL4" s="23">
        <f>AVERAGE(DL3:DS3)</f>
        <v>441.25</v>
      </c>
      <c r="DM4" s="23">
        <f>AVERAGE(DM3:DS3)</f>
        <v>441.57142857142856</v>
      </c>
      <c r="DN4" s="23">
        <f>AVERAGE(DN3:DS3)</f>
        <v>443.33333333333331</v>
      </c>
      <c r="DO4" s="23">
        <f>AVERAGE(DO3:DS3)</f>
        <v>444</v>
      </c>
      <c r="DP4" s="23">
        <f>AVERAGE(DP3:DS3)</f>
        <v>443.75</v>
      </c>
      <c r="DQ4" s="23">
        <f>AVERAGE(DQ3:DS3)</f>
        <v>444.66666666666669</v>
      </c>
      <c r="DR4" s="23">
        <f>AVERAGE(DR3:DS3)</f>
        <v>445</v>
      </c>
      <c r="DS4" s="23">
        <f>+DS3</f>
        <v>449</v>
      </c>
      <c r="DT4" s="23">
        <f>AVERAGE(DU3:EE3)</f>
        <v>432.36363636363637</v>
      </c>
      <c r="DU4" s="23">
        <f>AVERAGE(DU3:EE3)</f>
        <v>432.36363636363637</v>
      </c>
      <c r="DV4" s="23">
        <f>AVERAGE(DV3:EE3)</f>
        <v>431.8</v>
      </c>
      <c r="DW4" s="23">
        <f>AVERAGE(DW3:EE3)</f>
        <v>431.22222222222223</v>
      </c>
      <c r="DX4" s="23">
        <f>AVERAGE(DX3:EE3)</f>
        <v>430.75</v>
      </c>
      <c r="DY4" s="23">
        <f>AVERAGE(DY3:EE3)</f>
        <v>430.42857142857144</v>
      </c>
      <c r="DZ4" s="23">
        <f>AVERAGE(DZ3:EE3)</f>
        <v>430.16666666666669</v>
      </c>
      <c r="EA4" s="23">
        <f>AVERAGE(EA3:EE3)</f>
        <v>430.2</v>
      </c>
      <c r="EB4" s="23">
        <f>AVERAGE(EB3:EE3)</f>
        <v>430.75</v>
      </c>
      <c r="EC4" s="23">
        <f t="shared" ref="EC4:ED4" si="5">AVERAGE(EC3:ED3)</f>
        <v>427</v>
      </c>
      <c r="ED4" s="23">
        <f t="shared" si="5"/>
        <v>433.5</v>
      </c>
      <c r="EE4" s="1">
        <f>+EE3</f>
        <v>439</v>
      </c>
      <c r="EG4" s="17"/>
    </row>
    <row r="5" spans="1:140" x14ac:dyDescent="0.25">
      <c r="A5" s="1" t="s">
        <v>29</v>
      </c>
      <c r="D5" s="1" t="s">
        <v>30</v>
      </c>
      <c r="E5" s="1">
        <f t="shared" ref="E5:AB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f t="shared" si="6"/>
        <v>363</v>
      </c>
      <c r="R5" s="15">
        <f t="shared" si="6"/>
        <v>363</v>
      </c>
      <c r="S5" s="15">
        <f t="shared" si="6"/>
        <v>363</v>
      </c>
      <c r="T5" s="15">
        <f t="shared" si="6"/>
        <v>363</v>
      </c>
      <c r="U5" s="15">
        <f t="shared" si="6"/>
        <v>363</v>
      </c>
      <c r="V5" s="15">
        <f t="shared" si="6"/>
        <v>363</v>
      </c>
      <c r="W5" s="15">
        <f t="shared" si="6"/>
        <v>363</v>
      </c>
      <c r="X5" s="15">
        <f t="shared" si="6"/>
        <v>363</v>
      </c>
      <c r="Y5" s="15">
        <f t="shared" si="6"/>
        <v>363</v>
      </c>
      <c r="Z5" s="15">
        <f t="shared" si="6"/>
        <v>363</v>
      </c>
      <c r="AA5" s="15">
        <f t="shared" si="6"/>
        <v>363</v>
      </c>
      <c r="AB5" s="15">
        <f t="shared" si="6"/>
        <v>363</v>
      </c>
      <c r="AC5" s="15">
        <v>407</v>
      </c>
      <c r="AD5" s="15">
        <v>407</v>
      </c>
      <c r="AE5" s="15">
        <v>407</v>
      </c>
      <c r="AF5" s="15">
        <v>407</v>
      </c>
      <c r="AG5" s="15">
        <v>407</v>
      </c>
      <c r="AH5" s="15">
        <v>407</v>
      </c>
      <c r="AI5" s="15">
        <v>407</v>
      </c>
      <c r="AJ5" s="15">
        <v>407</v>
      </c>
      <c r="AK5" s="15">
        <v>407</v>
      </c>
      <c r="AL5" s="15">
        <v>407</v>
      </c>
      <c r="AM5" s="15">
        <v>407</v>
      </c>
      <c r="AN5" s="15">
        <v>407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5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382</v>
      </c>
      <c r="BB5" s="15">
        <v>382</v>
      </c>
      <c r="BC5" s="15">
        <v>382</v>
      </c>
      <c r="BD5" s="15">
        <v>382</v>
      </c>
      <c r="BE5" s="15">
        <v>382</v>
      </c>
      <c r="BF5" s="17">
        <v>382</v>
      </c>
      <c r="BG5" s="15">
        <v>382</v>
      </c>
      <c r="BH5" s="15">
        <v>382</v>
      </c>
      <c r="BI5" s="15">
        <v>382</v>
      </c>
      <c r="BJ5" s="15">
        <v>382</v>
      </c>
      <c r="BK5" s="15">
        <v>382</v>
      </c>
      <c r="BL5" s="15">
        <v>382</v>
      </c>
      <c r="BM5" s="15">
        <v>363</v>
      </c>
      <c r="BN5" s="15">
        <v>363</v>
      </c>
      <c r="BO5" s="15">
        <v>363</v>
      </c>
      <c r="BP5" s="14">
        <v>363</v>
      </c>
      <c r="BQ5" s="16">
        <v>363</v>
      </c>
      <c r="BR5" s="1">
        <v>363</v>
      </c>
      <c r="BS5" s="1">
        <v>363</v>
      </c>
      <c r="BT5" s="1">
        <v>363</v>
      </c>
      <c r="BU5" s="37">
        <v>363</v>
      </c>
      <c r="BV5" s="1">
        <v>363</v>
      </c>
      <c r="BW5" s="1">
        <v>363</v>
      </c>
      <c r="BX5" s="1">
        <v>363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415</v>
      </c>
      <c r="CL5" s="1">
        <v>415</v>
      </c>
      <c r="CM5" s="1">
        <v>415</v>
      </c>
      <c r="CN5" s="1">
        <v>415</v>
      </c>
      <c r="CO5" s="1">
        <v>415</v>
      </c>
      <c r="CP5" s="1">
        <v>415</v>
      </c>
      <c r="CQ5" s="1">
        <v>415</v>
      </c>
      <c r="CR5" s="1">
        <v>415</v>
      </c>
      <c r="CS5" s="1">
        <v>415</v>
      </c>
      <c r="CT5" s="1">
        <v>415</v>
      </c>
      <c r="CU5" s="1">
        <v>415</v>
      </c>
      <c r="CV5" s="1">
        <v>415</v>
      </c>
      <c r="CW5" s="1">
        <v>445</v>
      </c>
      <c r="CX5" s="1">
        <v>445</v>
      </c>
      <c r="CY5" s="1">
        <v>445</v>
      </c>
      <c r="CZ5" s="1">
        <v>445</v>
      </c>
      <c r="DA5" s="1">
        <v>445</v>
      </c>
      <c r="DB5" s="1">
        <v>445</v>
      </c>
      <c r="DC5" s="1">
        <v>445</v>
      </c>
      <c r="DD5" s="1">
        <v>445</v>
      </c>
      <c r="DE5" s="1">
        <v>445</v>
      </c>
      <c r="DF5" s="1">
        <v>445</v>
      </c>
      <c r="DG5" s="1">
        <v>445</v>
      </c>
      <c r="DH5" s="1">
        <v>445</v>
      </c>
      <c r="DI5" s="1">
        <v>461</v>
      </c>
      <c r="DJ5" s="1">
        <v>461</v>
      </c>
      <c r="DK5" s="1">
        <v>461</v>
      </c>
      <c r="DL5" s="1">
        <v>461</v>
      </c>
      <c r="DM5" s="1">
        <v>461</v>
      </c>
      <c r="DN5" s="1">
        <v>461</v>
      </c>
      <c r="DO5" s="1">
        <v>461</v>
      </c>
      <c r="DP5" s="1">
        <v>461</v>
      </c>
      <c r="DQ5" s="1">
        <v>461</v>
      </c>
      <c r="DR5" s="1">
        <v>461</v>
      </c>
      <c r="DS5" s="1">
        <v>461</v>
      </c>
      <c r="DT5" s="1">
        <v>460</v>
      </c>
      <c r="DU5" s="1">
        <v>460</v>
      </c>
      <c r="DV5" s="1">
        <v>460</v>
      </c>
      <c r="DW5" s="1">
        <v>460</v>
      </c>
      <c r="DX5" s="1">
        <v>460</v>
      </c>
      <c r="DY5" s="1">
        <v>460</v>
      </c>
      <c r="DZ5" s="1">
        <v>460</v>
      </c>
      <c r="EA5" s="1">
        <v>460</v>
      </c>
      <c r="EB5" s="1">
        <v>460</v>
      </c>
      <c r="EC5" s="1">
        <v>460</v>
      </c>
      <c r="ED5" s="1">
        <v>460</v>
      </c>
      <c r="EE5" s="1">
        <v>460</v>
      </c>
      <c r="EF5" s="17"/>
      <c r="EG5" s="17"/>
      <c r="EH5" s="17"/>
    </row>
    <row r="6" spans="1:140" x14ac:dyDescent="0.25">
      <c r="A6" s="1" t="s">
        <v>31</v>
      </c>
      <c r="D6" s="1" t="s">
        <v>32</v>
      </c>
      <c r="E6" s="23">
        <f t="shared" ref="E6:F6" si="7">+E4-E5</f>
        <v>-89</v>
      </c>
      <c r="F6" s="23">
        <f t="shared" si="7"/>
        <v>-86.666666666666686</v>
      </c>
      <c r="G6" s="23">
        <f t="shared" ref="G6:H6" si="8">+G4-G5</f>
        <v>-87.666666666666686</v>
      </c>
      <c r="H6" s="23">
        <f t="shared" si="8"/>
        <v>-87</v>
      </c>
      <c r="I6" s="23">
        <f t="shared" ref="I6:J6" si="9">+I4-I5</f>
        <v>-86.666666666666686</v>
      </c>
      <c r="J6" s="23">
        <f t="shared" si="9"/>
        <v>-85</v>
      </c>
      <c r="K6" s="23">
        <f t="shared" ref="K6:L6" si="10">+K4-K5</f>
        <v>-85.333333333333314</v>
      </c>
      <c r="L6" s="23">
        <f t="shared" si="10"/>
        <v>-87.666666666666686</v>
      </c>
      <c r="M6" s="23">
        <f t="shared" ref="M6:N6" si="11">+M4-M5</f>
        <v>-91</v>
      </c>
      <c r="N6" s="23">
        <f t="shared" si="11"/>
        <v>-92</v>
      </c>
      <c r="O6" s="23">
        <f t="shared" ref="O6:P6" si="12">+O4-O5</f>
        <v>-87.333333333333314</v>
      </c>
      <c r="P6" s="23">
        <f t="shared" si="12"/>
        <v>-81.666666666666686</v>
      </c>
      <c r="Q6" s="90">
        <f t="shared" ref="Q6:CB6" si="13">+Q4-Q5</f>
        <v>-75.666666666666686</v>
      </c>
      <c r="R6" s="39">
        <f t="shared" si="13"/>
        <v>-73</v>
      </c>
      <c r="S6" s="39">
        <f t="shared" si="13"/>
        <v>-71</v>
      </c>
      <c r="T6" s="39">
        <f t="shared" si="13"/>
        <v>-70</v>
      </c>
      <c r="U6" s="39">
        <f t="shared" si="13"/>
        <v>-67.666666666666686</v>
      </c>
      <c r="V6" s="39">
        <f t="shared" si="13"/>
        <v>-66.333333333333314</v>
      </c>
      <c r="W6" s="39">
        <f t="shared" si="13"/>
        <v>-64.333333333333314</v>
      </c>
      <c r="X6" s="39">
        <f t="shared" si="13"/>
        <v>-62.666666666666686</v>
      </c>
      <c r="Y6" s="39">
        <f t="shared" si="13"/>
        <v>-58.666666666666686</v>
      </c>
      <c r="Z6" s="39">
        <f t="shared" si="13"/>
        <v>-55.333333333333314</v>
      </c>
      <c r="AA6" s="39">
        <f t="shared" si="13"/>
        <v>-54</v>
      </c>
      <c r="AB6" s="39">
        <f t="shared" si="13"/>
        <v>-53</v>
      </c>
      <c r="AC6" s="39">
        <f t="shared" si="13"/>
        <v>-88</v>
      </c>
      <c r="AD6" s="39">
        <f t="shared" si="13"/>
        <v>-86</v>
      </c>
      <c r="AE6" s="39">
        <f t="shared" si="13"/>
        <v>-83.666666666666686</v>
      </c>
      <c r="AF6" s="39">
        <f t="shared" si="13"/>
        <v>-82.333333333333314</v>
      </c>
      <c r="AG6" s="39">
        <f t="shared" si="13"/>
        <v>-81.333333333333314</v>
      </c>
      <c r="AH6" s="39">
        <f t="shared" si="13"/>
        <v>-78.666666666666686</v>
      </c>
      <c r="AI6" s="39">
        <f t="shared" si="13"/>
        <v>-73</v>
      </c>
      <c r="AJ6" s="39">
        <f t="shared" si="13"/>
        <v>-68.333333333333314</v>
      </c>
      <c r="AK6" s="39">
        <f t="shared" si="13"/>
        <v>-66</v>
      </c>
      <c r="AL6" s="39">
        <f t="shared" si="13"/>
        <v>-65.666666666666686</v>
      </c>
      <c r="AM6" s="39">
        <f t="shared" si="13"/>
        <v>-65.5</v>
      </c>
      <c r="AN6" s="39">
        <f t="shared" si="13"/>
        <v>-65</v>
      </c>
      <c r="AO6" s="39">
        <f t="shared" si="13"/>
        <v>-39</v>
      </c>
      <c r="AP6" s="39">
        <f t="shared" si="13"/>
        <v>-39</v>
      </c>
      <c r="AQ6" s="39">
        <f t="shared" si="13"/>
        <v>-40.75</v>
      </c>
      <c r="AR6" s="39">
        <f t="shared" si="13"/>
        <v>-40.75</v>
      </c>
      <c r="AS6" s="39">
        <f t="shared" si="13"/>
        <v>-40.75</v>
      </c>
      <c r="AT6" s="39">
        <f t="shared" si="13"/>
        <v>-40.75</v>
      </c>
      <c r="AU6" s="39">
        <f t="shared" si="13"/>
        <v>-39.75</v>
      </c>
      <c r="AV6" s="39">
        <f t="shared" si="13"/>
        <v>-37</v>
      </c>
      <c r="AW6" s="39">
        <f t="shared" si="13"/>
        <v>-36.25</v>
      </c>
      <c r="AX6" s="39">
        <f t="shared" si="13"/>
        <v>-33.5</v>
      </c>
      <c r="AY6" s="39">
        <f t="shared" si="13"/>
        <v>-31.75</v>
      </c>
      <c r="AZ6" s="39">
        <f t="shared" si="13"/>
        <v>-31</v>
      </c>
      <c r="BA6" s="39">
        <f t="shared" si="13"/>
        <v>-29</v>
      </c>
      <c r="BB6" s="39">
        <f t="shared" si="13"/>
        <v>-31.25</v>
      </c>
      <c r="BC6" s="39">
        <f t="shared" si="13"/>
        <v>-32</v>
      </c>
      <c r="BD6" s="39">
        <f t="shared" si="13"/>
        <v>-33.5</v>
      </c>
      <c r="BE6" s="39">
        <f t="shared" si="13"/>
        <v>-35.25</v>
      </c>
      <c r="BF6" s="39">
        <f t="shared" si="13"/>
        <v>-33.25</v>
      </c>
      <c r="BG6" s="39">
        <f t="shared" si="13"/>
        <v>-33.25</v>
      </c>
      <c r="BH6" s="39">
        <f t="shared" si="13"/>
        <v>-35.75</v>
      </c>
      <c r="BI6" s="39">
        <f t="shared" si="13"/>
        <v>-39</v>
      </c>
      <c r="BJ6" s="39">
        <f t="shared" si="13"/>
        <v>-42</v>
      </c>
      <c r="BK6" s="39">
        <f t="shared" si="13"/>
        <v>-45.5</v>
      </c>
      <c r="BL6" s="39">
        <f t="shared" si="13"/>
        <v>-48</v>
      </c>
      <c r="BM6" s="39">
        <f t="shared" si="13"/>
        <v>-26.142857142857167</v>
      </c>
      <c r="BN6" s="39">
        <f t="shared" si="13"/>
        <v>-28.714285714285722</v>
      </c>
      <c r="BO6" s="39">
        <f t="shared" si="13"/>
        <v>-30.285714285714278</v>
      </c>
      <c r="BP6" s="39">
        <f t="shared" si="13"/>
        <v>-32</v>
      </c>
      <c r="BQ6" s="39">
        <f t="shared" si="13"/>
        <v>-32.571428571428555</v>
      </c>
      <c r="BR6" s="23">
        <f t="shared" si="13"/>
        <v>-31.571428571428555</v>
      </c>
      <c r="BS6" s="23">
        <f t="shared" si="13"/>
        <v>-32</v>
      </c>
      <c r="BT6" s="23">
        <f t="shared" si="13"/>
        <v>-30.399999999999977</v>
      </c>
      <c r="BU6" s="41">
        <f t="shared" si="13"/>
        <v>-29.25</v>
      </c>
      <c r="BV6" s="23">
        <f t="shared" si="13"/>
        <v>-26.666666666666686</v>
      </c>
      <c r="BW6" s="23">
        <f t="shared" si="13"/>
        <v>-22.5</v>
      </c>
      <c r="BX6" s="23">
        <f t="shared" si="13"/>
        <v>-14</v>
      </c>
      <c r="BY6" s="23">
        <f t="shared" si="13"/>
        <v>-39.583333333333314</v>
      </c>
      <c r="BZ6" s="23">
        <f t="shared" si="13"/>
        <v>-38.181818181818187</v>
      </c>
      <c r="CA6" s="23">
        <f t="shared" si="13"/>
        <v>-36.5</v>
      </c>
      <c r="CB6" s="23">
        <f t="shared" si="13"/>
        <v>-34.777777777777771</v>
      </c>
      <c r="CC6" s="23">
        <f t="shared" ref="CC6:EE6" si="14">+CC4-CC5</f>
        <v>-33.625</v>
      </c>
      <c r="CD6" s="23">
        <f t="shared" si="14"/>
        <v>-33.142857142857167</v>
      </c>
      <c r="CE6" s="23">
        <f t="shared" si="14"/>
        <v>-31.833333333333314</v>
      </c>
      <c r="CF6" s="23">
        <f t="shared" si="14"/>
        <v>-30.199999999999989</v>
      </c>
      <c r="CG6" s="23">
        <f t="shared" si="14"/>
        <v>-28</v>
      </c>
      <c r="CH6" s="23">
        <f t="shared" si="14"/>
        <v>-26.666666666666686</v>
      </c>
      <c r="CI6" s="23">
        <f t="shared" si="14"/>
        <v>-26</v>
      </c>
      <c r="CJ6" s="23">
        <f t="shared" si="14"/>
        <v>-23</v>
      </c>
      <c r="CK6" s="23">
        <f t="shared" si="14"/>
        <v>-18.666666666666686</v>
      </c>
      <c r="CL6" s="23">
        <f t="shared" si="14"/>
        <v>-19.454545454545439</v>
      </c>
      <c r="CM6" s="23">
        <f t="shared" si="14"/>
        <v>-20.600000000000023</v>
      </c>
      <c r="CN6" s="23">
        <f t="shared" si="14"/>
        <v>-21.111111111111086</v>
      </c>
      <c r="CO6" s="23">
        <f t="shared" si="14"/>
        <v>-21.375</v>
      </c>
      <c r="CP6" s="23">
        <f t="shared" si="14"/>
        <v>-21.714285714285722</v>
      </c>
      <c r="CQ6" s="23">
        <f t="shared" si="14"/>
        <v>-22.333333333333314</v>
      </c>
      <c r="CR6" s="23">
        <f t="shared" si="14"/>
        <v>-23.800000000000011</v>
      </c>
      <c r="CS6" s="23">
        <f t="shared" si="14"/>
        <v>-24.75</v>
      </c>
      <c r="CT6" s="23">
        <f t="shared" si="14"/>
        <v>-23.666666666666686</v>
      </c>
      <c r="CU6" s="23">
        <f t="shared" si="14"/>
        <v>-20.5</v>
      </c>
      <c r="CV6" s="23">
        <f t="shared" si="14"/>
        <v>-18</v>
      </c>
      <c r="CW6" s="23">
        <f t="shared" si="14"/>
        <v>-24.333333333333314</v>
      </c>
      <c r="CX6" s="23">
        <f t="shared" si="14"/>
        <v>-24.090909090909065</v>
      </c>
      <c r="CY6" s="23">
        <f t="shared" si="14"/>
        <v>-23.699999999999989</v>
      </c>
      <c r="CZ6" s="23">
        <f t="shared" si="14"/>
        <v>-23.666666666666686</v>
      </c>
      <c r="DA6" s="23">
        <f t="shared" si="14"/>
        <v>-24.25</v>
      </c>
      <c r="DB6" s="23">
        <f t="shared" si="14"/>
        <v>-23.714285714285722</v>
      </c>
      <c r="DC6" s="23">
        <f t="shared" si="14"/>
        <v>-24.166666666666686</v>
      </c>
      <c r="DD6" s="23">
        <f t="shared" si="14"/>
        <v>-24.800000000000011</v>
      </c>
      <c r="DE6" s="23">
        <f t="shared" si="14"/>
        <v>-24.75</v>
      </c>
      <c r="DF6" s="23">
        <f t="shared" si="14"/>
        <v>-24.666666666666686</v>
      </c>
      <c r="DG6" s="23">
        <f t="shared" si="14"/>
        <v>-26</v>
      </c>
      <c r="DH6" s="23">
        <f t="shared" si="14"/>
        <v>-24</v>
      </c>
      <c r="DI6" s="23">
        <f t="shared" si="14"/>
        <v>-18.454545454545439</v>
      </c>
      <c r="DJ6" s="23">
        <f t="shared" si="14"/>
        <v>-19.300000000000011</v>
      </c>
      <c r="DK6" s="23">
        <f t="shared" si="14"/>
        <v>-19.777777777777771</v>
      </c>
      <c r="DL6" s="23">
        <f t="shared" si="14"/>
        <v>-19.75</v>
      </c>
      <c r="DM6" s="23">
        <f t="shared" si="14"/>
        <v>-19.428571428571445</v>
      </c>
      <c r="DN6" s="23">
        <f t="shared" si="14"/>
        <v>-17.666666666666686</v>
      </c>
      <c r="DO6" s="23">
        <f t="shared" si="14"/>
        <v>-17</v>
      </c>
      <c r="DP6" s="23">
        <f t="shared" si="14"/>
        <v>-17.25</v>
      </c>
      <c r="DQ6" s="23">
        <f t="shared" si="14"/>
        <v>-16.333333333333314</v>
      </c>
      <c r="DR6" s="23">
        <f t="shared" si="14"/>
        <v>-16</v>
      </c>
      <c r="DS6" s="23">
        <f t="shared" si="14"/>
        <v>-12</v>
      </c>
      <c r="DT6" s="23">
        <f t="shared" si="14"/>
        <v>-27.636363636363626</v>
      </c>
      <c r="DU6" s="23">
        <f t="shared" si="14"/>
        <v>-27.636363636363626</v>
      </c>
      <c r="DV6" s="23">
        <f t="shared" si="14"/>
        <v>-28.199999999999989</v>
      </c>
      <c r="DW6" s="23">
        <f t="shared" si="14"/>
        <v>-28.777777777777771</v>
      </c>
      <c r="DX6" s="23">
        <f t="shared" si="14"/>
        <v>-29.25</v>
      </c>
      <c r="DY6" s="23">
        <f t="shared" si="14"/>
        <v>-29.571428571428555</v>
      </c>
      <c r="DZ6" s="23">
        <f t="shared" si="14"/>
        <v>-29.833333333333314</v>
      </c>
      <c r="EA6" s="23">
        <f t="shared" si="14"/>
        <v>-29.800000000000011</v>
      </c>
      <c r="EB6" s="23">
        <f t="shared" si="14"/>
        <v>-29.25</v>
      </c>
      <c r="EC6" s="23">
        <f t="shared" si="14"/>
        <v>-33</v>
      </c>
      <c r="ED6" s="23">
        <f t="shared" si="14"/>
        <v>-26.5</v>
      </c>
      <c r="EE6" s="23">
        <f t="shared" si="14"/>
        <v>-21</v>
      </c>
      <c r="EG6" s="17"/>
    </row>
    <row r="7" spans="1:140" x14ac:dyDescent="0.25">
      <c r="A7" s="1" t="s">
        <v>33</v>
      </c>
      <c r="D7" s="1" t="s">
        <v>34</v>
      </c>
      <c r="E7" s="24">
        <f t="shared" ref="E7:F7" si="15">+E6*218</f>
        <v>-19402</v>
      </c>
      <c r="F7" s="24">
        <f t="shared" si="15"/>
        <v>-18893.333333333336</v>
      </c>
      <c r="G7" s="24">
        <f t="shared" ref="G7:H7" si="16">+G6*218</f>
        <v>-19111.333333333336</v>
      </c>
      <c r="H7" s="24">
        <f t="shared" si="16"/>
        <v>-18966</v>
      </c>
      <c r="I7" s="24">
        <f t="shared" ref="I7:J7" si="17">+I6*218</f>
        <v>-18893.333333333336</v>
      </c>
      <c r="J7" s="24">
        <f t="shared" si="17"/>
        <v>-18530</v>
      </c>
      <c r="K7" s="24">
        <f t="shared" ref="K7:L7" si="18">+K6*218</f>
        <v>-18602.666666666664</v>
      </c>
      <c r="L7" s="24">
        <f t="shared" si="18"/>
        <v>-19111.333333333336</v>
      </c>
      <c r="M7" s="24">
        <f t="shared" ref="M7:N7" si="19">+M6*218</f>
        <v>-19838</v>
      </c>
      <c r="N7" s="24">
        <f t="shared" si="19"/>
        <v>-20056</v>
      </c>
      <c r="O7" s="24">
        <f t="shared" ref="O7:P7" si="20">+O6*218</f>
        <v>-19038.666666666664</v>
      </c>
      <c r="P7" s="24">
        <f t="shared" si="20"/>
        <v>-17803.333333333336</v>
      </c>
      <c r="Q7" s="91">
        <f t="shared" ref="Q7:AN7" si="21">+Q6*218</f>
        <v>-16495.333333333336</v>
      </c>
      <c r="R7" s="83">
        <f t="shared" si="21"/>
        <v>-15914</v>
      </c>
      <c r="S7" s="83">
        <f t="shared" si="21"/>
        <v>-15478</v>
      </c>
      <c r="T7" s="83">
        <f t="shared" si="21"/>
        <v>-15260</v>
      </c>
      <c r="U7" s="83">
        <f t="shared" si="21"/>
        <v>-14751.333333333338</v>
      </c>
      <c r="V7" s="83">
        <f t="shared" si="21"/>
        <v>-14460.666666666662</v>
      </c>
      <c r="W7" s="83">
        <f t="shared" si="21"/>
        <v>-14024.666666666662</v>
      </c>
      <c r="X7" s="83">
        <f t="shared" si="21"/>
        <v>-13661.333333333338</v>
      </c>
      <c r="Y7" s="83">
        <f t="shared" si="21"/>
        <v>-12789.333333333338</v>
      </c>
      <c r="Z7" s="83">
        <f t="shared" si="21"/>
        <v>-12062.666666666662</v>
      </c>
      <c r="AA7" s="83">
        <f t="shared" si="21"/>
        <v>-11772</v>
      </c>
      <c r="AB7" s="97">
        <f t="shared" si="21"/>
        <v>-11554</v>
      </c>
      <c r="AC7" s="83">
        <f t="shared" si="21"/>
        <v>-19184</v>
      </c>
      <c r="AD7" s="83">
        <f t="shared" si="21"/>
        <v>-18748</v>
      </c>
      <c r="AE7" s="83">
        <f t="shared" si="21"/>
        <v>-18239.333333333336</v>
      </c>
      <c r="AF7" s="83">
        <f t="shared" si="21"/>
        <v>-17948.666666666664</v>
      </c>
      <c r="AG7" s="83">
        <f t="shared" si="21"/>
        <v>-17730.666666666664</v>
      </c>
      <c r="AH7" s="24">
        <f t="shared" si="21"/>
        <v>-17149.333333333336</v>
      </c>
      <c r="AI7" s="83">
        <f t="shared" si="21"/>
        <v>-15914</v>
      </c>
      <c r="AJ7" s="83">
        <f t="shared" si="21"/>
        <v>-14896.666666666662</v>
      </c>
      <c r="AK7" s="80">
        <f t="shared" si="21"/>
        <v>-14388</v>
      </c>
      <c r="AL7" s="24">
        <f t="shared" si="21"/>
        <v>-14315.333333333338</v>
      </c>
      <c r="AM7" s="24">
        <f t="shared" si="21"/>
        <v>-14279</v>
      </c>
      <c r="AN7" s="24">
        <f t="shared" si="21"/>
        <v>-14170</v>
      </c>
      <c r="AO7" s="24">
        <f>+AO6*192</f>
        <v>-7488</v>
      </c>
      <c r="AP7" s="24">
        <f t="shared" ref="AP7:CJ7" si="22">+AP6*192</f>
        <v>-7488</v>
      </c>
      <c r="AQ7" s="77">
        <f t="shared" si="22"/>
        <v>-7824</v>
      </c>
      <c r="AR7" s="24">
        <f t="shared" si="22"/>
        <v>-7824</v>
      </c>
      <c r="AS7" s="24">
        <f t="shared" si="22"/>
        <v>-7824</v>
      </c>
      <c r="AT7" s="24">
        <f t="shared" si="22"/>
        <v>-7824</v>
      </c>
      <c r="AU7" s="24">
        <f t="shared" si="22"/>
        <v>-7632</v>
      </c>
      <c r="AV7" s="24">
        <f t="shared" si="22"/>
        <v>-7104</v>
      </c>
      <c r="AW7" s="24">
        <f t="shared" si="22"/>
        <v>-6960</v>
      </c>
      <c r="AX7" s="24">
        <f t="shared" si="22"/>
        <v>-6432</v>
      </c>
      <c r="AY7" s="24">
        <f t="shared" si="22"/>
        <v>-6096</v>
      </c>
      <c r="AZ7" s="24">
        <f t="shared" si="22"/>
        <v>-5952</v>
      </c>
      <c r="BA7" s="24">
        <f t="shared" si="22"/>
        <v>-5568</v>
      </c>
      <c r="BB7" s="24">
        <f t="shared" si="22"/>
        <v>-6000</v>
      </c>
      <c r="BC7" s="24">
        <f t="shared" si="22"/>
        <v>-6144</v>
      </c>
      <c r="BD7" s="24">
        <f t="shared" si="22"/>
        <v>-6432</v>
      </c>
      <c r="BE7" s="24">
        <f t="shared" si="22"/>
        <v>-6768</v>
      </c>
      <c r="BF7" s="24">
        <f t="shared" si="22"/>
        <v>-6384</v>
      </c>
      <c r="BG7" s="24">
        <f t="shared" si="22"/>
        <v>-6384</v>
      </c>
      <c r="BH7" s="24">
        <f t="shared" si="22"/>
        <v>-6864</v>
      </c>
      <c r="BI7" s="24">
        <f t="shared" si="22"/>
        <v>-7488</v>
      </c>
      <c r="BJ7" s="24">
        <f t="shared" si="22"/>
        <v>-8064</v>
      </c>
      <c r="BK7" s="24">
        <f t="shared" si="22"/>
        <v>-8736</v>
      </c>
      <c r="BL7" s="24">
        <f t="shared" si="22"/>
        <v>-9216</v>
      </c>
      <c r="BM7" s="24">
        <f t="shared" si="22"/>
        <v>-5019.4285714285761</v>
      </c>
      <c r="BN7" s="24">
        <f t="shared" si="22"/>
        <v>-5513.1428571428587</v>
      </c>
      <c r="BO7" s="24">
        <f t="shared" si="22"/>
        <v>-5814.8571428571413</v>
      </c>
      <c r="BP7" s="24">
        <f t="shared" si="22"/>
        <v>-6144</v>
      </c>
      <c r="BQ7" s="24">
        <f t="shared" si="22"/>
        <v>-6253.7142857142826</v>
      </c>
      <c r="BR7" s="42">
        <f t="shared" si="22"/>
        <v>-6061.7142857142826</v>
      </c>
      <c r="BS7" s="24">
        <f t="shared" si="22"/>
        <v>-6144</v>
      </c>
      <c r="BT7" s="24">
        <f t="shared" si="22"/>
        <v>-5836.7999999999956</v>
      </c>
      <c r="BU7" s="43">
        <f t="shared" si="22"/>
        <v>-5616</v>
      </c>
      <c r="BV7" s="24">
        <f t="shared" si="22"/>
        <v>-5120.0000000000036</v>
      </c>
      <c r="BW7" s="24">
        <f t="shared" si="22"/>
        <v>-4320</v>
      </c>
      <c r="BX7" s="24">
        <f t="shared" si="22"/>
        <v>-2688</v>
      </c>
      <c r="BY7" s="24">
        <f t="shared" si="22"/>
        <v>-7599.9999999999964</v>
      </c>
      <c r="BZ7" s="24">
        <f t="shared" si="22"/>
        <v>-7330.9090909090919</v>
      </c>
      <c r="CA7" s="24">
        <f t="shared" si="22"/>
        <v>-7008</v>
      </c>
      <c r="CB7" s="24">
        <f t="shared" si="22"/>
        <v>-6677.3333333333321</v>
      </c>
      <c r="CC7" s="24">
        <f t="shared" si="22"/>
        <v>-6456</v>
      </c>
      <c r="CD7" s="24">
        <f t="shared" si="22"/>
        <v>-6363.4285714285761</v>
      </c>
      <c r="CE7" s="24">
        <f t="shared" si="22"/>
        <v>-6111.9999999999964</v>
      </c>
      <c r="CF7" s="24">
        <f t="shared" si="22"/>
        <v>-5798.3999999999978</v>
      </c>
      <c r="CG7" s="24">
        <f t="shared" si="22"/>
        <v>-5376</v>
      </c>
      <c r="CH7" s="24">
        <f t="shared" si="22"/>
        <v>-5120.0000000000036</v>
      </c>
      <c r="CI7" s="24">
        <f t="shared" si="22"/>
        <v>-4992</v>
      </c>
      <c r="CJ7" s="24">
        <f t="shared" si="22"/>
        <v>-4416</v>
      </c>
      <c r="CK7" s="24">
        <f t="shared" ref="CK7:EE7" si="23">+CK6*168</f>
        <v>-3136.0000000000032</v>
      </c>
      <c r="CL7" s="24">
        <f t="shared" si="23"/>
        <v>-3268.3636363636338</v>
      </c>
      <c r="CM7" s="24">
        <f t="shared" si="23"/>
        <v>-3460.8000000000038</v>
      </c>
      <c r="CN7" s="24">
        <f t="shared" si="23"/>
        <v>-3546.6666666666624</v>
      </c>
      <c r="CO7" s="24">
        <f t="shared" si="23"/>
        <v>-3591</v>
      </c>
      <c r="CP7" s="24">
        <f t="shared" si="23"/>
        <v>-3648.0000000000014</v>
      </c>
      <c r="CQ7" s="24">
        <f t="shared" si="23"/>
        <v>-3751.9999999999968</v>
      </c>
      <c r="CR7" s="24">
        <f t="shared" si="23"/>
        <v>-3998.4000000000019</v>
      </c>
      <c r="CS7" s="24">
        <f t="shared" si="23"/>
        <v>-4158</v>
      </c>
      <c r="CT7" s="24">
        <f t="shared" si="23"/>
        <v>-3976.0000000000032</v>
      </c>
      <c r="CU7" s="24">
        <f t="shared" si="23"/>
        <v>-3444</v>
      </c>
      <c r="CV7" s="24">
        <f t="shared" si="23"/>
        <v>-3024</v>
      </c>
      <c r="CW7" s="24">
        <f t="shared" si="23"/>
        <v>-4087.9999999999968</v>
      </c>
      <c r="CX7" s="24">
        <f t="shared" si="23"/>
        <v>-4047.2727272727229</v>
      </c>
      <c r="CY7" s="24">
        <f t="shared" si="23"/>
        <v>-3981.5999999999981</v>
      </c>
      <c r="CZ7" s="24">
        <f t="shared" si="23"/>
        <v>-3976.0000000000032</v>
      </c>
      <c r="DA7" s="24">
        <f t="shared" si="23"/>
        <v>-4074</v>
      </c>
      <c r="DB7" s="24">
        <f t="shared" si="23"/>
        <v>-3984.0000000000014</v>
      </c>
      <c r="DC7" s="24">
        <f t="shared" si="23"/>
        <v>-4060.0000000000032</v>
      </c>
      <c r="DD7" s="24">
        <f t="shared" si="23"/>
        <v>-4166.4000000000015</v>
      </c>
      <c r="DE7" s="24">
        <f t="shared" si="23"/>
        <v>-4158</v>
      </c>
      <c r="DF7" s="24">
        <f t="shared" si="23"/>
        <v>-4144.0000000000036</v>
      </c>
      <c r="DG7" s="24">
        <f t="shared" si="23"/>
        <v>-4368</v>
      </c>
      <c r="DH7" s="24">
        <f t="shared" si="23"/>
        <v>-4032</v>
      </c>
      <c r="DI7" s="24">
        <f t="shared" si="23"/>
        <v>-3100.3636363636338</v>
      </c>
      <c r="DJ7" s="24">
        <f t="shared" si="23"/>
        <v>-3242.4000000000019</v>
      </c>
      <c r="DK7" s="24">
        <f t="shared" si="23"/>
        <v>-3322.6666666666656</v>
      </c>
      <c r="DL7" s="24">
        <f t="shared" si="23"/>
        <v>-3318</v>
      </c>
      <c r="DM7" s="24">
        <f t="shared" si="23"/>
        <v>-3264.0000000000027</v>
      </c>
      <c r="DN7" s="24">
        <f t="shared" si="23"/>
        <v>-2968.0000000000032</v>
      </c>
      <c r="DO7" s="24">
        <f t="shared" si="23"/>
        <v>-2856</v>
      </c>
      <c r="DP7" s="24">
        <f t="shared" si="23"/>
        <v>-2898</v>
      </c>
      <c r="DQ7" s="24">
        <f t="shared" si="23"/>
        <v>-2743.9999999999968</v>
      </c>
      <c r="DR7" s="24">
        <f t="shared" si="23"/>
        <v>-2688</v>
      </c>
      <c r="DS7" s="24">
        <f t="shared" si="23"/>
        <v>-2016</v>
      </c>
      <c r="DT7" s="24">
        <f t="shared" si="23"/>
        <v>-4642.9090909090892</v>
      </c>
      <c r="DU7" s="24">
        <f t="shared" si="23"/>
        <v>-4642.9090909090892</v>
      </c>
      <c r="DV7" s="24">
        <f t="shared" si="23"/>
        <v>-4737.5999999999985</v>
      </c>
      <c r="DW7" s="24">
        <f t="shared" si="23"/>
        <v>-4834.6666666666661</v>
      </c>
      <c r="DX7" s="24">
        <f t="shared" si="23"/>
        <v>-4914</v>
      </c>
      <c r="DY7" s="24">
        <f t="shared" si="23"/>
        <v>-4967.9999999999973</v>
      </c>
      <c r="DZ7" s="24">
        <f t="shared" si="23"/>
        <v>-5011.9999999999964</v>
      </c>
      <c r="EA7" s="24">
        <f t="shared" si="23"/>
        <v>-5006.4000000000015</v>
      </c>
      <c r="EB7" s="24">
        <f t="shared" si="23"/>
        <v>-4914</v>
      </c>
      <c r="EC7" s="24">
        <f t="shared" si="23"/>
        <v>-5544</v>
      </c>
      <c r="ED7" s="24">
        <f t="shared" si="23"/>
        <v>-4452</v>
      </c>
      <c r="EE7" s="24">
        <f t="shared" si="23"/>
        <v>-3528</v>
      </c>
    </row>
    <row r="8" spans="1:140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76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7"/>
      <c r="BG8" s="17"/>
      <c r="BH8" s="17"/>
      <c r="BI8" s="17"/>
      <c r="BJ8" s="15"/>
      <c r="BK8" s="17"/>
      <c r="BL8" s="17"/>
      <c r="BM8" s="17"/>
      <c r="BN8" s="17"/>
      <c r="BO8" s="17"/>
      <c r="BP8" s="14"/>
      <c r="BQ8" s="16"/>
      <c r="BR8" s="1"/>
      <c r="BS8" s="1"/>
      <c r="BU8" s="37"/>
    </row>
    <row r="9" spans="1:140" x14ac:dyDescent="0.25">
      <c r="A9" s="75" t="s">
        <v>35</v>
      </c>
      <c r="D9" s="1" t="s">
        <v>36</v>
      </c>
      <c r="E9" s="25">
        <f>118889.11-63264.91-20112.5-16154</f>
        <v>19357.699999999997</v>
      </c>
      <c r="F9" s="25">
        <f>115744.33-63123.75-19325-16154</f>
        <v>17141.580000000002</v>
      </c>
      <c r="G9" s="25">
        <f>114538.5-62962.41-19212.5-16154</f>
        <v>16209.589999999997</v>
      </c>
      <c r="H9" s="25">
        <f>112053.37-62458.25-18900-16154</f>
        <v>14541.119999999995</v>
      </c>
      <c r="I9" s="25">
        <f>108234.87-61294.27-18512.5-16154</f>
        <v>12274.099999999999</v>
      </c>
      <c r="J9" s="25">
        <f>104331.73-59640.61-18062.5-16154</f>
        <v>10474.619999999995</v>
      </c>
      <c r="K9" s="25">
        <f>101236.18-58128.12-17225-16154</f>
        <v>9729.0599999999904</v>
      </c>
      <c r="L9" s="25">
        <f>97443.76-55821.8-16400-16154</f>
        <v>9067.9599999999919</v>
      </c>
      <c r="M9" s="25">
        <f>92589.29-53952.82-16137.5-15925</f>
        <v>6573.9699999999939</v>
      </c>
      <c r="N9" s="25">
        <f>73821.2-50584.99-15150-4311</f>
        <v>3775.2099999999991</v>
      </c>
      <c r="O9" s="25">
        <f>61818.93-46087.83-13400-0</f>
        <v>2331.0999999999985</v>
      </c>
      <c r="P9" s="25">
        <f>54430.63-41199.5-11887.5-0</f>
        <v>1343.6299999999974</v>
      </c>
      <c r="Q9" s="92">
        <f>152011.2-63440.08-18525-40978</f>
        <v>29068.12000000001</v>
      </c>
      <c r="R9" s="45">
        <f>148828.41-63185.73-18037.5-40373</f>
        <v>27232.179999999993</v>
      </c>
      <c r="S9" s="45">
        <f>143441.49-63094.89-18025-35565</f>
        <v>26756.599999999991</v>
      </c>
      <c r="T9" s="45">
        <f>137887.65-62822.39-17925-35565</f>
        <v>21575.259999999995</v>
      </c>
      <c r="U9" s="45">
        <f>132670.42-61423.4-17662.5-35565</f>
        <v>18019.520000000019</v>
      </c>
      <c r="V9" s="45">
        <f>125153-59279.73-16875-35565</f>
        <v>13433.26999999999</v>
      </c>
      <c r="W9" s="45">
        <f>120943.04-58135.24-16175-35565</f>
        <v>11067.799999999996</v>
      </c>
      <c r="X9" s="45">
        <f>117753.54-56602.56-15412.5-35381</f>
        <v>10357.479999999996</v>
      </c>
      <c r="Y9" s="45">
        <f>97078.39-55210.38-15062.5-11784</f>
        <v>15021.510000000002</v>
      </c>
      <c r="Z9" s="45">
        <f>100715.68-77376.26-15362.5-0</f>
        <v>7976.9199999999983</v>
      </c>
      <c r="AA9" s="45">
        <f>93347.26-73997.26-14112.5-0</f>
        <v>5237.5</v>
      </c>
      <c r="AB9" s="45">
        <f>85269.27-69266.44-12650-0</f>
        <v>3352.8300000000017</v>
      </c>
      <c r="AC9" s="45">
        <f>127418.29-53683.65-17825-19732</f>
        <v>36177.639999999985</v>
      </c>
      <c r="AD9" s="45">
        <f>123459.28-53347.65-17825-19299</f>
        <v>32987.630000000005</v>
      </c>
      <c r="AE9" s="45">
        <f>118135.48-53147.8-17775-15915</f>
        <v>31297.679999999993</v>
      </c>
      <c r="AF9" s="45">
        <f>111887.73-52857.13-17637.5-15915</f>
        <v>25478.1</v>
      </c>
      <c r="AG9" s="45">
        <f>102504.29-52112.29-17300-15915</f>
        <v>17176.999999999993</v>
      </c>
      <c r="AH9" s="45">
        <f>98487.9-50604.45-16787.5-15915</f>
        <v>15180.949999999997</v>
      </c>
      <c r="AI9" s="45">
        <f>94632.81-49150.51-15875-15915</f>
        <v>13692.299999999996</v>
      </c>
      <c r="AJ9" s="45">
        <f>90361.96-47565.34-15162.5-15915</f>
        <v>11719.12000000001</v>
      </c>
      <c r="AK9" s="45">
        <f>86769.41-46166.51-15012.5-15915</f>
        <v>9675.4000000000015</v>
      </c>
      <c r="AL9" s="45">
        <f>71976.42-43278.01-13987.5-6780</f>
        <v>7930.9099999999962</v>
      </c>
      <c r="AM9" s="45">
        <f>58914.62-40800.35-13637.5-0</f>
        <v>4476.7700000000041</v>
      </c>
      <c r="AN9" s="45">
        <f>51255.27-36316.34-12312.5-0</f>
        <v>2626.4300000000003</v>
      </c>
      <c r="AO9" s="45">
        <f>135440.58-60129.91-22537.5-25554</f>
        <v>27219.169999999984</v>
      </c>
      <c r="AP9" s="45">
        <f>133657.88-59937.91-22387.5-25401</f>
        <v>25931.47</v>
      </c>
      <c r="AQ9" s="45">
        <f>126840.28-59745.91-22362.5-19677</f>
        <v>25054.869999999995</v>
      </c>
      <c r="AR9" s="45">
        <f>123744.26-59345.91-22262.5-19377</f>
        <v>22758.849999999991</v>
      </c>
      <c r="AS9" s="45">
        <f>96019.13-46916.5-10512.5-19377</f>
        <v>19213.130000000005</v>
      </c>
      <c r="AT9" s="45">
        <f>93685.95-46596.5-10512.5-19377</f>
        <v>17199.949999999997</v>
      </c>
      <c r="AU9" s="45">
        <f>87917.28-42980.5-10512.5-19377</f>
        <v>15047.279999999999</v>
      </c>
      <c r="AV9" s="45">
        <f>85737.49-42756.5-10362.5-19377</f>
        <v>13241.490000000005</v>
      </c>
      <c r="AW9" s="45">
        <f>82602.49-40579.33-10362.5-20038</f>
        <v>11622.660000000003</v>
      </c>
      <c r="AX9" s="45">
        <f>64948.22-40195.33-10362.5-6194</f>
        <v>8196.39</v>
      </c>
      <c r="AY9" s="45">
        <f>56574.79-40065.83-10362.5-0</f>
        <v>6146.4599999999991</v>
      </c>
      <c r="AZ9" s="45">
        <f>53110.31-39662.17-10212.5-0</f>
        <v>3235.6399999999994</v>
      </c>
      <c r="BA9" s="45">
        <f>140839.18-61188.17-22112.5-17209.5</f>
        <v>40329.009999999995</v>
      </c>
      <c r="BB9" s="45">
        <f>135643.29-59956.17-21925-16803.5</f>
        <v>36958.62000000001</v>
      </c>
      <c r="BC9" s="45">
        <f>129605.21-59860.17-21925-13399.5</f>
        <v>34420.540000000008</v>
      </c>
      <c r="BD9" s="45">
        <f>120415.64-59284.17-21787.5-12949.5</f>
        <v>26394.47</v>
      </c>
      <c r="BE9" s="45">
        <f>113827.9-58674.67-21437.5-12949.5</f>
        <v>20766.229999999996</v>
      </c>
      <c r="BF9" s="45">
        <f>109455.3-57938.67-21212.5-12949.5</f>
        <v>17354.630000000005</v>
      </c>
      <c r="BG9" s="45">
        <f>104933.41-56738.67-20262.5-12949.5</f>
        <v>14982.740000000005</v>
      </c>
      <c r="BH9" s="45">
        <f>101048.75-55378.67-19662.5-12949.5</f>
        <v>13058.080000000002</v>
      </c>
      <c r="BI9" s="45">
        <f>95806.56-54098.67-18887.5-13014</f>
        <v>9806.39</v>
      </c>
      <c r="BJ9" s="45">
        <f>81144.43-52498.67-18150-2073</f>
        <v>8422.7599999999948</v>
      </c>
      <c r="BK9" s="45">
        <f>69786.97-48718.17-16912.5-0</f>
        <v>4156.3000000000029</v>
      </c>
      <c r="BL9" s="45">
        <f>55961.81-42379.83-11800-0</f>
        <v>1781.9799999999959</v>
      </c>
      <c r="BM9" s="45">
        <f>138799.03-64867.67-21912.5-17986</f>
        <v>34032.86</v>
      </c>
      <c r="BN9" s="45">
        <f>133534.81-64755.67-21537.5-16564</f>
        <v>30677.64</v>
      </c>
      <c r="BO9" s="45">
        <f>126103.4-64323.67-21412.5-11643</f>
        <v>28724.229999999996</v>
      </c>
      <c r="BP9" s="45">
        <f>118942.92-63907.67-21262.5-10851</f>
        <v>22921.75</v>
      </c>
      <c r="BQ9" s="45">
        <f>112645.56-63250.17-21062.5-10851</f>
        <v>17481.89</v>
      </c>
      <c r="BR9" s="25">
        <f>105714.78-61650.17-20562.5-10851</f>
        <v>12651.11</v>
      </c>
      <c r="BS9" s="25">
        <f>(101207.39-59922.17-20000-10851)</f>
        <v>10434.220000000001</v>
      </c>
      <c r="BT9" s="25">
        <f>(96736.21-58194.17-18837.5-10851)</f>
        <v>8853.5400000000081</v>
      </c>
      <c r="BU9" s="47">
        <f>(90616.76-55874.17-18237.5 -9511)</f>
        <v>6994.0899999999965</v>
      </c>
      <c r="BV9" s="25">
        <f>(85270.86-52956.17-17575-9298)</f>
        <v>5441.6900000000023</v>
      </c>
      <c r="BW9" s="25">
        <f>(78275.58-49836.17-16250-8497)</f>
        <v>3692.4100000000035</v>
      </c>
      <c r="BX9" s="25">
        <f>(67368.02-45912.67-14975-3559)</f>
        <v>2921.3500000000058</v>
      </c>
      <c r="BY9" s="25">
        <f>(137306.14-67877.92-20200-30214)</f>
        <v>19014.220000000016</v>
      </c>
      <c r="BZ9" s="25">
        <f>(136448.28-67877.92-20200-30114)</f>
        <v>18256.36</v>
      </c>
      <c r="CA9" s="25">
        <f>(134507.89-67669.92-20125-30114)</f>
        <v>16598.970000000016</v>
      </c>
      <c r="CB9" s="25">
        <f>(132419.84-67269.92-20000-30114)</f>
        <v>15035.919999999998</v>
      </c>
      <c r="CC9" s="25">
        <f>(130087.57-66753.17-19687.5-30114)</f>
        <v>13532.900000000009</v>
      </c>
      <c r="CD9" s="25">
        <f>(127052.36-65745.17-19381.63-30114)</f>
        <v>11811.559999999998</v>
      </c>
      <c r="CE9" s="25">
        <f>(123915.64-30114-18875-64465.17)</f>
        <v>10461.470000000001</v>
      </c>
      <c r="CF9" s="25">
        <f>(119400.68-30114-17675-62689.17)</f>
        <v>8922.5099999999948</v>
      </c>
      <c r="CG9" s="25">
        <f>(115089.98-30114-16637.5-60369.17)</f>
        <v>7969.3099999999977</v>
      </c>
      <c r="CH9" s="25">
        <f>(104401.99-24697-15950-57627.17)</f>
        <v>6127.820000000007</v>
      </c>
      <c r="CI9" s="25">
        <f>(77385.8-5317-14845.47-52892.33)</f>
        <v>4331</v>
      </c>
      <c r="CJ9" s="25">
        <f>(62340.33-13675-46824.33)</f>
        <v>1841</v>
      </c>
      <c r="CK9" s="25">
        <f>(154801.49-68573.91-39133-19800)</f>
        <v>27294.579999999987</v>
      </c>
      <c r="CL9" s="25">
        <f>(153315.22-68538.91-39133-19950)</f>
        <v>25693.309999999998</v>
      </c>
      <c r="CM9" s="25">
        <f>(151296.12-68272.91-39133-19762.5)</f>
        <v>24127.709999999992</v>
      </c>
      <c r="CN9" s="25">
        <f>(147112.31-67824.91-39133-19550)</f>
        <v>20604.399999999994</v>
      </c>
      <c r="CO9" s="25">
        <f>(142407.77-39133-66893.91-19387.5)</f>
        <v>16993.359999999986</v>
      </c>
      <c r="CP9" s="25">
        <f>(139856.59-39133-66263.91-19062.5)</f>
        <v>15397.179999999993</v>
      </c>
      <c r="CQ9" s="25">
        <f>(136007.43-39133-64842.16-18587.5)</f>
        <v>13444.76999999999</v>
      </c>
      <c r="CR9" s="25">
        <f>(131771.28-63099-39133-17437.5)</f>
        <v>12101.779999999999</v>
      </c>
      <c r="CS9" s="25">
        <f>(125494.11-39091-60656.16-16737.5)</f>
        <v>9009.4499999999971</v>
      </c>
      <c r="CT9" s="25">
        <f>(111292.57-57086.5-15950-31766)</f>
        <v>6490.070000000007</v>
      </c>
      <c r="CU9" s="25">
        <f>(80242.26-8204-15400-52420.59)</f>
        <v>4217.6699999999983</v>
      </c>
      <c r="CV9" s="25">
        <f>(64009.71-13787.5-47447.59)</f>
        <v>2774.6200000000026</v>
      </c>
      <c r="CW9" s="8">
        <v>31472.04</v>
      </c>
      <c r="CX9" s="8">
        <v>30311.14</v>
      </c>
      <c r="CY9" s="8">
        <v>28557.37</v>
      </c>
      <c r="CZ9" s="8">
        <v>27103.56</v>
      </c>
      <c r="DA9" s="8">
        <v>24629.8</v>
      </c>
      <c r="DB9" s="48">
        <f>152288.03-70003.48-19432.5-39847</f>
        <v>23005.050000000003</v>
      </c>
      <c r="DC9" s="48">
        <f>147875.59-39847-68561.48-18545</f>
        <v>20922.11</v>
      </c>
      <c r="DD9" s="48">
        <f>137852.19-67063.48-17420-36040</f>
        <v>17328.710000000006</v>
      </c>
      <c r="DE9" s="48">
        <f>127375.56-29573-65297.23-17057.5</f>
        <v>15447.829999999994</v>
      </c>
      <c r="DF9" s="48">
        <f>100592.34-62570.56-16307.5-8244</f>
        <v>13470.279999999999</v>
      </c>
      <c r="DG9" s="48">
        <f>80791.57-56664.15-15745</f>
        <v>8382.4200000000055</v>
      </c>
      <c r="DH9" s="48">
        <f>70654.5-14395-50670.65</f>
        <v>5588.8499999999985</v>
      </c>
      <c r="DI9" s="48">
        <f>186541.69-50742-73758.84-21200</f>
        <v>40840.850000000006</v>
      </c>
      <c r="DJ9" s="48">
        <f>179593.44-50742-73555.84-21187.5</f>
        <v>34108.100000000006</v>
      </c>
      <c r="DK9" s="48">
        <f>168214.77-73037.84-21062.5-50742</f>
        <v>23372.429999999993</v>
      </c>
      <c r="DL9" s="48">
        <f>165275.02-50742-72421.84-20762.5</f>
        <v>21348.679999999993</v>
      </c>
      <c r="DM9" s="48">
        <f>161997.84-50677-20625-71189.84</f>
        <v>19506</v>
      </c>
      <c r="DN9" s="48">
        <f>158489.58-50677-69999.84-19787.5</f>
        <v>18025.239999999991</v>
      </c>
      <c r="DO9" s="48">
        <f>152773.52-18587.5-68899.94-49811</f>
        <v>15475.079999999987</v>
      </c>
      <c r="DP9" s="48">
        <f>142850.75-43480-66953.84-18050</f>
        <v>14366.910000000003</v>
      </c>
      <c r="DQ9" s="48">
        <f>117858.96-25433-64007.84-17262.5</f>
        <v>11155.62000000001</v>
      </c>
      <c r="DR9" s="48">
        <f>103380.46-19355-60530.17-16575</f>
        <v>6920.2900000000081</v>
      </c>
      <c r="DS9" s="48">
        <f>91409.49-17515-53484.25-14875</f>
        <v>5535.2400000000052</v>
      </c>
      <c r="EJ9" s="1" t="s">
        <v>37</v>
      </c>
    </row>
    <row r="10" spans="1:140" x14ac:dyDescent="0.25">
      <c r="A10" s="75" t="s">
        <v>38</v>
      </c>
      <c r="D10" s="1" t="s">
        <v>39</v>
      </c>
      <c r="E10" s="26">
        <f>(164303-8040-24000-23806)/12*12</f>
        <v>108457</v>
      </c>
      <c r="F10" s="26">
        <f>(164303-8040-24000-23806)/12*11</f>
        <v>99418.916666666672</v>
      </c>
      <c r="G10" s="26">
        <f>(164303-8040-24000-23806)/12*10</f>
        <v>90380.833333333343</v>
      </c>
      <c r="H10" s="26">
        <f>(164303-8040-24000-23806)/12*9</f>
        <v>81342.75</v>
      </c>
      <c r="I10" s="26">
        <f>(164303-8040-24000-23806)/12*8</f>
        <v>72304.666666666672</v>
      </c>
      <c r="J10" s="26">
        <f>(164303-8040-24000-23806)/12*7</f>
        <v>63266.583333333336</v>
      </c>
      <c r="K10" s="26">
        <f>(164303-8040-24000-23806)/12*6</f>
        <v>54228.5</v>
      </c>
      <c r="L10" s="26">
        <f>(164303-8040-24000-23806)/12*5</f>
        <v>45190.416666666672</v>
      </c>
      <c r="M10" s="26">
        <f>(164303-8040-24000-23806)/12*4</f>
        <v>36152.333333333336</v>
      </c>
      <c r="N10" s="26">
        <f>(164303-8040-24000-23806)/12*3</f>
        <v>27114.25</v>
      </c>
      <c r="O10" s="26">
        <f>(164303-8040-24000-23806)/12*2</f>
        <v>18076.166666666668</v>
      </c>
      <c r="P10" s="26">
        <f>(164303-8040-24000-23806)/12*1</f>
        <v>9038.0833333333339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50">
        <f>(165901-74055-20000-46731)/12*7</f>
        <v>14650.416666666666</v>
      </c>
      <c r="BG10" s="50">
        <f>(165901-74055-20000-46731)/12*6</f>
        <v>12557.5</v>
      </c>
      <c r="BH10" s="50">
        <f>(165901-74055-20000-46731)/12*5</f>
        <v>10464.583333333332</v>
      </c>
      <c r="BI10" s="50">
        <f>(165901-74055-20000-46731)/12*4</f>
        <v>8371.6666666666661</v>
      </c>
      <c r="BJ10" s="50">
        <f>(165901-74055-20000-46731)/12*3</f>
        <v>6278.75</v>
      </c>
      <c r="BK10" s="50">
        <f>(165901-74055-20000-46731)/12*2</f>
        <v>4185.833333333333</v>
      </c>
      <c r="BL10" s="50">
        <f>(165901-74055-20000-46731)/12*1</f>
        <v>2092.9166666666665</v>
      </c>
      <c r="BM10" s="50">
        <f>(165901-74055-20000-46731)/12*12</f>
        <v>25115</v>
      </c>
      <c r="BN10" s="50">
        <f>(165901-74055-20000-46731)/12*11</f>
        <v>23022.083333333332</v>
      </c>
      <c r="BO10" s="50">
        <f>(165901-74055-20000-46731)/12*10</f>
        <v>20929.166666666664</v>
      </c>
      <c r="BP10" s="50">
        <f>(165901-74055-20000-46731)/12*9</f>
        <v>18836.25</v>
      </c>
      <c r="BQ10" s="50">
        <f>(165901-74055-20000-46731)/12*8</f>
        <v>16743.333333333332</v>
      </c>
      <c r="BR10" s="26">
        <f>(165901-74055-20000-46731)/12*7</f>
        <v>14650.416666666666</v>
      </c>
      <c r="BS10" s="26">
        <f>(165901-74055-20000-46731)/12*6</f>
        <v>12557.5</v>
      </c>
      <c r="BT10" s="26">
        <f>(165901-74055-20000-46731)/12*5</f>
        <v>10464.583333333332</v>
      </c>
      <c r="BU10" s="52">
        <f>(165901-74055-20000-46731)/12*4</f>
        <v>8371.6666666666661</v>
      </c>
      <c r="BV10" s="26">
        <f>(165901-74055-20000-46731)/12*3</f>
        <v>6278.75</v>
      </c>
      <c r="BW10" s="26">
        <f>(165901-74055-20000-46731)/12*2</f>
        <v>4185.833333333333</v>
      </c>
      <c r="BX10" s="26">
        <f>(165901-74055-20000-46731)/12*1</f>
        <v>2092.9166666666665</v>
      </c>
      <c r="BY10" s="26">
        <f>(173742-84165-20000-44486)/12*12</f>
        <v>25091</v>
      </c>
      <c r="BZ10" s="26">
        <f>(173742-84165-20000-44486)/12*11</f>
        <v>23000.083333333332</v>
      </c>
      <c r="CA10" s="26">
        <f>(173742-84165-20000-44486)/12*10</f>
        <v>20909.166666666664</v>
      </c>
      <c r="CB10" s="26">
        <f>(173742-84165-20000-44486)/12*9</f>
        <v>18818.25</v>
      </c>
      <c r="CC10" s="26">
        <f>(173742-84165-20000-44486)/12*8</f>
        <v>16727.333333333332</v>
      </c>
      <c r="CD10" s="26">
        <f>(173742-84165-20000-44486)/12*7</f>
        <v>14636.416666666666</v>
      </c>
      <c r="CE10" s="26">
        <f>(173742-84165-20000-44486)/12*6</f>
        <v>12545.5</v>
      </c>
      <c r="CF10" s="26">
        <f>(173742-84165-20000-44486)/12*5</f>
        <v>10454.583333333332</v>
      </c>
      <c r="CG10" s="26">
        <f>(173742-84165-20000-44486)/12*4</f>
        <v>8363.6666666666661</v>
      </c>
      <c r="CH10" s="26">
        <f>(173742-84165-20000-44486)/12*3</f>
        <v>6272.75</v>
      </c>
      <c r="CI10" s="26">
        <f>(173742-84165-20000-44486)/12*2</f>
        <v>4181.833333333333</v>
      </c>
      <c r="CJ10" s="26">
        <f>(173742-84165-20000-44486)/12*1</f>
        <v>2090.9166666666665</v>
      </c>
      <c r="CK10" s="26">
        <f>(161708-73902-42162-20000)/12*12</f>
        <v>25644</v>
      </c>
      <c r="CL10" s="26">
        <f>(161708-73902-42162-20000)/12*11</f>
        <v>23507</v>
      </c>
      <c r="CM10" s="26">
        <f>(161708-73902-42162-20000)/12*10</f>
        <v>21370</v>
      </c>
      <c r="CN10" s="26">
        <f>(161708-73902-42162-20000)/12*9</f>
        <v>19233</v>
      </c>
      <c r="CO10" s="26">
        <f>(161708-73902-42162-20000)/12*8</f>
        <v>17096</v>
      </c>
      <c r="CP10" s="26">
        <f>(161708-73902-42162-20000)/12*7</f>
        <v>14959</v>
      </c>
      <c r="CQ10" s="26">
        <f>(161708-73902-42162-20000)/12*6</f>
        <v>12822</v>
      </c>
      <c r="CR10" s="26">
        <f>(161708-73902-42162-20000)/12*5</f>
        <v>10685</v>
      </c>
      <c r="CS10" s="26">
        <f>(161708-73902-42162-20000)/12*4</f>
        <v>8548</v>
      </c>
      <c r="CT10" s="26">
        <f>(161708-73902-42162-20000)/12*3</f>
        <v>6411</v>
      </c>
      <c r="CU10" s="26">
        <f>(161708-73902-42162-20000)/12*2</f>
        <v>4274</v>
      </c>
      <c r="CV10" s="26">
        <f>(161708-73902-42162-20000)/12*1</f>
        <v>2137</v>
      </c>
      <c r="CW10" s="53">
        <f>(174743-45101-78942-20000)/12*12</f>
        <v>30700</v>
      </c>
      <c r="CX10" s="53">
        <f>(174743-45101-78942-20000)/12*11</f>
        <v>28141.666666666668</v>
      </c>
      <c r="CY10" s="53">
        <f>(174743-45101-78942-20000)/12*10</f>
        <v>25583.333333333336</v>
      </c>
      <c r="CZ10" s="53">
        <f>(174743-45101-78942-20000)/12*9</f>
        <v>23025</v>
      </c>
      <c r="DA10" s="53">
        <f>(174743-45101-78942-20000)/12*8</f>
        <v>20466.666666666668</v>
      </c>
      <c r="DB10" s="48">
        <f>(174743-45101-78942-20000)/12*7</f>
        <v>17908.333333333336</v>
      </c>
      <c r="DC10" s="48">
        <f>(174743-45101-78942-20000)/12*6</f>
        <v>15350</v>
      </c>
      <c r="DD10" s="48">
        <f>(174743-45101-78942-20000)/12*5</f>
        <v>12791.666666666668</v>
      </c>
      <c r="DE10" s="48">
        <f>(174743-45101-78942-20000)/12*4</f>
        <v>10233.333333333334</v>
      </c>
      <c r="DF10" s="48">
        <f>(174743-45101-78942-20000)/12*3</f>
        <v>7675</v>
      </c>
      <c r="DG10" s="48">
        <f>(174743-45101-78942-20000)/12*2</f>
        <v>5116.666666666667</v>
      </c>
      <c r="DH10" s="48">
        <f>(174743-45101-78942-20000)/12</f>
        <v>2558.3333333333335</v>
      </c>
      <c r="DI10" s="48">
        <f>(58217-18000)/12*11</f>
        <v>36865.583333333328</v>
      </c>
      <c r="DJ10" s="48">
        <f>(58217-18000)/12*10</f>
        <v>33514.166666666664</v>
      </c>
      <c r="DK10" s="48">
        <f>(58217-18000)/12*9</f>
        <v>30162.75</v>
      </c>
      <c r="DL10" s="48">
        <f>(58217-18000)/12*8</f>
        <v>26811.333333333332</v>
      </c>
      <c r="DM10" s="48">
        <f>(58217-18000)/12*7</f>
        <v>23459.916666666664</v>
      </c>
      <c r="DN10" s="48">
        <f>(58217-18000)/12*6</f>
        <v>20108.5</v>
      </c>
      <c r="DO10" s="48">
        <f>(58217-18000)/12*5</f>
        <v>16757.083333333332</v>
      </c>
      <c r="DP10" s="48">
        <f>(58217-18000)/12*4</f>
        <v>13405.666666666666</v>
      </c>
      <c r="DQ10" s="48">
        <f>(58217-18000)/12*3</f>
        <v>10054.25</v>
      </c>
      <c r="DR10" s="48">
        <f>(58217-18000)/12*2</f>
        <v>6702.833333333333</v>
      </c>
      <c r="DS10" s="48">
        <f>(58217-18000)/12</f>
        <v>3351.4166666666665</v>
      </c>
    </row>
    <row r="11" spans="1:140" x14ac:dyDescent="0.25">
      <c r="D11" s="1" t="s">
        <v>40</v>
      </c>
      <c r="E11" s="24">
        <f t="shared" ref="E11:F11" si="24">+E9-E10</f>
        <v>-89099.3</v>
      </c>
      <c r="F11" s="24">
        <f t="shared" si="24"/>
        <v>-82277.33666666667</v>
      </c>
      <c r="G11" s="24">
        <f t="shared" ref="G11:H11" si="25">+G9-G10</f>
        <v>-74171.243333333347</v>
      </c>
      <c r="H11" s="24">
        <f t="shared" si="25"/>
        <v>-66801.63</v>
      </c>
      <c r="I11" s="24">
        <f t="shared" ref="I11:J11" si="26">+I9-I10</f>
        <v>-60030.566666666673</v>
      </c>
      <c r="J11" s="24">
        <f t="shared" si="26"/>
        <v>-52791.96333333334</v>
      </c>
      <c r="K11" s="24">
        <f t="shared" ref="K11:L11" si="27">+K9-K10</f>
        <v>-44499.44000000001</v>
      </c>
      <c r="L11" s="24">
        <f t="shared" si="27"/>
        <v>-36122.45666666668</v>
      </c>
      <c r="M11" s="24">
        <f t="shared" ref="M11:N11" si="28">+M9-M10</f>
        <v>-29578.363333333342</v>
      </c>
      <c r="N11" s="24">
        <f t="shared" si="28"/>
        <v>-23339.040000000001</v>
      </c>
      <c r="O11" s="24">
        <f t="shared" ref="O11:P11" si="29">+O9-O10</f>
        <v>-15745.066666666669</v>
      </c>
      <c r="P11" s="24">
        <f t="shared" si="29"/>
        <v>-7694.4533333333366</v>
      </c>
      <c r="Q11" s="91">
        <f t="shared" ref="Q11:CB11" si="30">+Q9-Q10</f>
        <v>3953.1200000000099</v>
      </c>
      <c r="R11" s="83">
        <f t="shared" si="30"/>
        <v>4210.0966666666609</v>
      </c>
      <c r="S11" s="83">
        <f t="shared" si="30"/>
        <v>5827.433333333327</v>
      </c>
      <c r="T11" s="83">
        <f t="shared" si="30"/>
        <v>2739.0099999999948</v>
      </c>
      <c r="U11" s="83">
        <f t="shared" si="30"/>
        <v>1276.1866666666865</v>
      </c>
      <c r="V11" s="83">
        <f t="shared" si="30"/>
        <v>-1217.1466666666765</v>
      </c>
      <c r="W11" s="83">
        <f t="shared" si="30"/>
        <v>-1489.7000000000044</v>
      </c>
      <c r="X11" s="83">
        <f t="shared" si="30"/>
        <v>-107.1033333333362</v>
      </c>
      <c r="Y11" s="83">
        <f t="shared" si="30"/>
        <v>6649.843333333336</v>
      </c>
      <c r="Z11" s="83">
        <f t="shared" si="30"/>
        <v>1698.1699999999983</v>
      </c>
      <c r="AA11" s="83">
        <f t="shared" si="30"/>
        <v>1051.666666666667</v>
      </c>
      <c r="AB11" s="83">
        <f t="shared" si="30"/>
        <v>1259.9133333333352</v>
      </c>
      <c r="AC11" s="83">
        <f t="shared" si="30"/>
        <v>11062.639999999985</v>
      </c>
      <c r="AD11" s="83">
        <f t="shared" si="30"/>
        <v>9965.5466666666725</v>
      </c>
      <c r="AE11" s="83">
        <f t="shared" si="30"/>
        <v>10368.513333333329</v>
      </c>
      <c r="AF11" s="83">
        <f t="shared" si="30"/>
        <v>6641.8499999999985</v>
      </c>
      <c r="AG11" s="83">
        <f t="shared" si="30"/>
        <v>433.6666666666606</v>
      </c>
      <c r="AH11" s="24">
        <f t="shared" si="30"/>
        <v>530.53333333333103</v>
      </c>
      <c r="AI11" s="83">
        <f t="shared" si="30"/>
        <v>1134.7999999999956</v>
      </c>
      <c r="AJ11" s="83">
        <f t="shared" si="30"/>
        <v>1254.5366666666778</v>
      </c>
      <c r="AK11" s="83">
        <f t="shared" si="30"/>
        <v>1303.7333333333354</v>
      </c>
      <c r="AL11" s="24">
        <f t="shared" si="30"/>
        <v>1652.1599999999962</v>
      </c>
      <c r="AM11" s="24">
        <f t="shared" si="30"/>
        <v>290.93666666667104</v>
      </c>
      <c r="AN11" s="24">
        <f t="shared" si="30"/>
        <v>533.51333333333378</v>
      </c>
      <c r="AO11" s="24">
        <f t="shared" si="30"/>
        <v>2104.1699999999837</v>
      </c>
      <c r="AP11" s="24">
        <f t="shared" si="30"/>
        <v>2909.386666666669</v>
      </c>
      <c r="AQ11" s="24">
        <f t="shared" si="30"/>
        <v>4125.7033333333311</v>
      </c>
      <c r="AR11" s="24">
        <f t="shared" si="30"/>
        <v>3922.5999999999913</v>
      </c>
      <c r="AS11" s="24">
        <f t="shared" si="30"/>
        <v>2469.7966666666725</v>
      </c>
      <c r="AT11" s="24">
        <f t="shared" si="30"/>
        <v>2549.533333333331</v>
      </c>
      <c r="AU11" s="24">
        <f t="shared" si="30"/>
        <v>2489.7799999999988</v>
      </c>
      <c r="AV11" s="24">
        <f t="shared" si="30"/>
        <v>2776.9066666666731</v>
      </c>
      <c r="AW11" s="24">
        <f t="shared" si="30"/>
        <v>3250.9933333333374</v>
      </c>
      <c r="AX11" s="24">
        <f t="shared" si="30"/>
        <v>1917.6399999999994</v>
      </c>
      <c r="AY11" s="24">
        <f t="shared" si="30"/>
        <v>1960.6266666666661</v>
      </c>
      <c r="AZ11" s="24">
        <f t="shared" si="30"/>
        <v>1142.7233333333329</v>
      </c>
      <c r="BA11" s="24">
        <f t="shared" si="30"/>
        <v>15214.009999999995</v>
      </c>
      <c r="BB11" s="24">
        <f t="shared" si="30"/>
        <v>13936.536666666678</v>
      </c>
      <c r="BC11" s="24">
        <f t="shared" si="30"/>
        <v>13491.373333333344</v>
      </c>
      <c r="BD11" s="24">
        <f t="shared" si="30"/>
        <v>7558.2200000000012</v>
      </c>
      <c r="BE11" s="24">
        <f t="shared" si="30"/>
        <v>4022.8966666666638</v>
      </c>
      <c r="BF11" s="24">
        <f t="shared" si="30"/>
        <v>2704.2133333333386</v>
      </c>
      <c r="BG11" s="24">
        <f t="shared" si="30"/>
        <v>2425.2400000000052</v>
      </c>
      <c r="BH11" s="24">
        <f t="shared" si="30"/>
        <v>2593.4966666666696</v>
      </c>
      <c r="BI11" s="24">
        <f t="shared" si="30"/>
        <v>1434.7233333333334</v>
      </c>
      <c r="BJ11" s="24">
        <f t="shared" si="30"/>
        <v>2144.0099999999948</v>
      </c>
      <c r="BK11" s="24">
        <f t="shared" si="30"/>
        <v>-29.53333333333012</v>
      </c>
      <c r="BL11" s="24">
        <f t="shared" si="30"/>
        <v>-310.93666666667059</v>
      </c>
      <c r="BM11" s="24">
        <f t="shared" si="30"/>
        <v>8917.86</v>
      </c>
      <c r="BN11" s="24">
        <f t="shared" si="30"/>
        <v>7655.5566666666673</v>
      </c>
      <c r="BO11" s="24">
        <f t="shared" si="30"/>
        <v>7795.0633333333317</v>
      </c>
      <c r="BP11" s="24">
        <f t="shared" si="30"/>
        <v>4085.5</v>
      </c>
      <c r="BQ11" s="24">
        <f t="shared" si="30"/>
        <v>738.5566666666673</v>
      </c>
      <c r="BR11" s="42">
        <f t="shared" si="30"/>
        <v>-1999.3066666666655</v>
      </c>
      <c r="BS11" s="24">
        <f t="shared" si="30"/>
        <v>-2123.2799999999988</v>
      </c>
      <c r="BT11" s="24">
        <f t="shared" si="30"/>
        <v>-1611.043333333324</v>
      </c>
      <c r="BU11" s="43">
        <f t="shared" si="30"/>
        <v>-1377.5766666666696</v>
      </c>
      <c r="BV11" s="24">
        <f t="shared" si="30"/>
        <v>-837.05999999999767</v>
      </c>
      <c r="BW11" s="24">
        <f t="shared" si="30"/>
        <v>-493.42333333332954</v>
      </c>
      <c r="BX11" s="24">
        <f t="shared" si="30"/>
        <v>828.43333333333931</v>
      </c>
      <c r="BY11" s="24">
        <f t="shared" si="30"/>
        <v>-6076.7799999999843</v>
      </c>
      <c r="BZ11" s="24">
        <f t="shared" si="30"/>
        <v>-4743.7233333333315</v>
      </c>
      <c r="CA11" s="24">
        <f t="shared" si="30"/>
        <v>-4310.1966666666485</v>
      </c>
      <c r="CB11" s="24">
        <f t="shared" si="30"/>
        <v>-3782.3300000000017</v>
      </c>
      <c r="CC11" s="24">
        <f t="shared" ref="CC11:DS11" si="31">+CC9-CC10</f>
        <v>-3194.4333333333234</v>
      </c>
      <c r="CD11" s="24">
        <f t="shared" si="31"/>
        <v>-2824.8566666666684</v>
      </c>
      <c r="CE11" s="24">
        <f t="shared" si="31"/>
        <v>-2084.0299999999988</v>
      </c>
      <c r="CF11" s="24">
        <f t="shared" si="31"/>
        <v>-1532.0733333333374</v>
      </c>
      <c r="CG11" s="24">
        <f t="shared" si="31"/>
        <v>-394.35666666666839</v>
      </c>
      <c r="CH11" s="24">
        <f t="shared" si="31"/>
        <v>-144.92999999999302</v>
      </c>
      <c r="CI11" s="24">
        <f t="shared" si="31"/>
        <v>149.16666666666697</v>
      </c>
      <c r="CJ11" s="24">
        <f t="shared" si="31"/>
        <v>-249.91666666666652</v>
      </c>
      <c r="CK11" s="24">
        <f t="shared" si="31"/>
        <v>1650.5799999999872</v>
      </c>
      <c r="CL11" s="24">
        <f t="shared" si="31"/>
        <v>2186.3099999999977</v>
      </c>
      <c r="CM11" s="24">
        <f t="shared" si="31"/>
        <v>2757.7099999999919</v>
      </c>
      <c r="CN11" s="24">
        <f t="shared" si="31"/>
        <v>1371.3999999999942</v>
      </c>
      <c r="CO11" s="24">
        <f t="shared" si="31"/>
        <v>-102.64000000001397</v>
      </c>
      <c r="CP11" s="24">
        <f t="shared" si="31"/>
        <v>438.17999999999302</v>
      </c>
      <c r="CQ11" s="24">
        <f t="shared" si="31"/>
        <v>622.76999999998952</v>
      </c>
      <c r="CR11" s="24">
        <f t="shared" si="31"/>
        <v>1416.7799999999988</v>
      </c>
      <c r="CS11" s="24">
        <f t="shared" si="31"/>
        <v>461.44999999999709</v>
      </c>
      <c r="CT11" s="24">
        <f t="shared" si="31"/>
        <v>79.070000000006985</v>
      </c>
      <c r="CU11" s="24">
        <f t="shared" si="31"/>
        <v>-56.330000000001746</v>
      </c>
      <c r="CV11" s="24">
        <f t="shared" si="31"/>
        <v>637.62000000000262</v>
      </c>
      <c r="CW11" s="24">
        <f t="shared" si="31"/>
        <v>772.04000000000087</v>
      </c>
      <c r="CX11" s="24">
        <f t="shared" si="31"/>
        <v>2169.4733333333315</v>
      </c>
      <c r="CY11" s="24">
        <f t="shared" si="31"/>
        <v>2974.0366666666632</v>
      </c>
      <c r="CZ11" s="24">
        <f t="shared" si="31"/>
        <v>4078.5600000000013</v>
      </c>
      <c r="DA11" s="24">
        <f t="shared" si="31"/>
        <v>4163.1333333333314</v>
      </c>
      <c r="DB11" s="24">
        <f t="shared" si="31"/>
        <v>5096.7166666666672</v>
      </c>
      <c r="DC11" s="24">
        <f t="shared" si="31"/>
        <v>5572.1100000000006</v>
      </c>
      <c r="DD11" s="24">
        <f t="shared" si="31"/>
        <v>4537.0433333333385</v>
      </c>
      <c r="DE11" s="24">
        <f t="shared" si="31"/>
        <v>5214.4966666666605</v>
      </c>
      <c r="DF11" s="24">
        <f t="shared" si="31"/>
        <v>5795.2799999999988</v>
      </c>
      <c r="DG11" s="24">
        <f t="shared" si="31"/>
        <v>3265.7533333333386</v>
      </c>
      <c r="DH11" s="24">
        <f t="shared" si="31"/>
        <v>3030.5166666666651</v>
      </c>
      <c r="DI11" s="24">
        <f t="shared" si="31"/>
        <v>3975.2666666666773</v>
      </c>
      <c r="DJ11" s="24">
        <f t="shared" si="31"/>
        <v>593.93333333334158</v>
      </c>
      <c r="DK11" s="24">
        <f t="shared" si="31"/>
        <v>-6790.320000000007</v>
      </c>
      <c r="DL11" s="24">
        <f t="shared" si="31"/>
        <v>-5462.6533333333391</v>
      </c>
      <c r="DM11" s="24">
        <f t="shared" si="31"/>
        <v>-3953.9166666666642</v>
      </c>
      <c r="DN11" s="24">
        <f t="shared" si="31"/>
        <v>-2083.2600000000093</v>
      </c>
      <c r="DO11" s="24">
        <f t="shared" si="31"/>
        <v>-1282.0033333333449</v>
      </c>
      <c r="DP11" s="24">
        <f t="shared" si="31"/>
        <v>961.24333333333743</v>
      </c>
      <c r="DQ11" s="24">
        <f t="shared" si="31"/>
        <v>1101.3700000000099</v>
      </c>
      <c r="DR11" s="24">
        <f t="shared" si="31"/>
        <v>217.45666666667512</v>
      </c>
      <c r="DS11" s="24">
        <f t="shared" si="31"/>
        <v>2183.8233333333387</v>
      </c>
    </row>
    <row r="12" spans="1:140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7"/>
      <c r="BG12" s="17"/>
      <c r="BH12" s="17"/>
      <c r="BI12" s="17"/>
      <c r="BJ12" s="15"/>
      <c r="BK12" s="17"/>
      <c r="BL12" s="17"/>
      <c r="BM12" s="17"/>
      <c r="BN12" s="17"/>
      <c r="BO12" s="17"/>
      <c r="BP12" s="14"/>
      <c r="BQ12" s="16"/>
      <c r="BR12" s="1"/>
      <c r="BS12" s="1"/>
      <c r="BU12" s="37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</row>
    <row r="13" spans="1:140" x14ac:dyDescent="0.25">
      <c r="A13" s="75" t="s">
        <v>41</v>
      </c>
      <c r="D13" s="1" t="s">
        <v>42</v>
      </c>
      <c r="E13" s="26">
        <f>153771.45-1259.67</f>
        <v>152511.78</v>
      </c>
      <c r="F13" s="26">
        <f>137863.93-1759.67</f>
        <v>136104.25999999998</v>
      </c>
      <c r="G13" s="26">
        <f>126988.89-1659.67</f>
        <v>125329.22</v>
      </c>
      <c r="H13" s="26">
        <f>118771.95-1659.67</f>
        <v>117112.28</v>
      </c>
      <c r="I13" s="26">
        <f>104025.79-1659.67</f>
        <v>102366.12</v>
      </c>
      <c r="J13" s="26">
        <f>90555.91-1659.67</f>
        <v>88896.24</v>
      </c>
      <c r="K13" s="26">
        <f>76071.3-1659.67</f>
        <v>74411.63</v>
      </c>
      <c r="L13" s="26">
        <f>63651.35-1659.67</f>
        <v>61991.68</v>
      </c>
      <c r="M13" s="26">
        <f>50256.6-444.27</f>
        <v>49812.33</v>
      </c>
      <c r="N13" s="26">
        <f>38088.61-146.57</f>
        <v>37942.04</v>
      </c>
      <c r="O13" s="26">
        <f>25520.37-33.34</f>
        <v>25487.03</v>
      </c>
      <c r="P13" s="26">
        <f>13646.82-33.34</f>
        <v>13613.48</v>
      </c>
      <c r="Q13" s="93">
        <f>177043.31-25860.08</f>
        <v>151183.22999999998</v>
      </c>
      <c r="R13" s="50">
        <f>159031.94-25409</f>
        <v>133622.94</v>
      </c>
      <c r="S13" s="50">
        <f>148752-25247.7</f>
        <v>123504.3</v>
      </c>
      <c r="T13" s="50">
        <f>136524.48-25247.7</f>
        <v>111276.78000000001</v>
      </c>
      <c r="U13" s="50">
        <f>114795.7-15970.94</f>
        <v>98824.76</v>
      </c>
      <c r="V13" s="50">
        <f>104448.75-15970.94</f>
        <v>88477.81</v>
      </c>
      <c r="W13" s="50">
        <f>90318.42-15442.46</f>
        <v>74875.959999999992</v>
      </c>
      <c r="X13" s="50">
        <f>65433.75-3453.52</f>
        <v>61980.23</v>
      </c>
      <c r="Y13" s="50">
        <f>55126.57-2712.42</f>
        <v>52414.15</v>
      </c>
      <c r="Z13" s="50">
        <f>42205.84-2403.93</f>
        <v>39801.909999999996</v>
      </c>
      <c r="AA13" s="50">
        <f>28246.9-818.93</f>
        <v>27427.97</v>
      </c>
      <c r="AB13" s="50">
        <f>17722.96-818.93</f>
        <v>16904.03</v>
      </c>
      <c r="AC13" s="50">
        <f>146026.84-2342.67</f>
        <v>143684.16999999998</v>
      </c>
      <c r="AD13" s="50">
        <f>133028.4-1931.93</f>
        <v>131096.47</v>
      </c>
      <c r="AE13" s="50">
        <f>121682.06-1834.02</f>
        <v>119848.04</v>
      </c>
      <c r="AF13" s="50">
        <f>109772.24-1834.02</f>
        <v>107938.22</v>
      </c>
      <c r="AG13" s="50">
        <f>97808.42-1834.02</f>
        <v>95974.399999999994</v>
      </c>
      <c r="AH13" s="50">
        <f>86605.59-1834.02</f>
        <v>84771.569999999992</v>
      </c>
      <c r="AI13" s="50">
        <f>74280.25-1834.02</f>
        <v>72446.23</v>
      </c>
      <c r="AJ13" s="50">
        <f>61674.61-1834.02</f>
        <v>59840.590000000004</v>
      </c>
      <c r="AK13" s="50">
        <f>48701.98-484.02</f>
        <v>48217.960000000006</v>
      </c>
      <c r="AL13" s="50">
        <f>38559.67-209.8</f>
        <v>38349.869999999995</v>
      </c>
      <c r="AM13" s="50">
        <f>25904.21-55.23</f>
        <v>25848.98</v>
      </c>
      <c r="AN13" s="50">
        <f>15361.95-55.23</f>
        <v>15306.720000000001</v>
      </c>
      <c r="AO13" s="50">
        <f>135917.55-2608.16</f>
        <v>133309.38999999998</v>
      </c>
      <c r="AP13" s="50">
        <f>121770.16-2603.07</f>
        <v>119167.09</v>
      </c>
      <c r="AQ13" s="50">
        <f>111226.59-2445.28</f>
        <v>108781.31</v>
      </c>
      <c r="AR13" s="50">
        <f>101959.45-2436.03</f>
        <v>99523.42</v>
      </c>
      <c r="AS13" s="50">
        <f>92882.53-2436.03</f>
        <v>90446.5</v>
      </c>
      <c r="AT13" s="50">
        <f>82875.44-2436.03</f>
        <v>80439.41</v>
      </c>
      <c r="AU13" s="50">
        <f>71908.83-2436.03</f>
        <v>69472.800000000003</v>
      </c>
      <c r="AV13" s="50">
        <f>57597.1-2436.03</f>
        <v>55161.07</v>
      </c>
      <c r="AW13" s="50">
        <f>46692.66-705.85</f>
        <v>45986.810000000005</v>
      </c>
      <c r="AX13" s="50">
        <f>35614.51-366.52</f>
        <v>35247.990000000005</v>
      </c>
      <c r="AY13" s="50">
        <f>22673.85-220.91</f>
        <v>22452.94</v>
      </c>
      <c r="AZ13" s="50">
        <f>12879.58-220.91</f>
        <v>12658.67</v>
      </c>
      <c r="BA13" s="50">
        <f>131454.02-874.11</f>
        <v>130579.90999999999</v>
      </c>
      <c r="BB13" s="50">
        <f>114923.15-863.93</f>
        <v>114059.22</v>
      </c>
      <c r="BC13" s="50">
        <f>105638.28-763.26</f>
        <v>104875.02</v>
      </c>
      <c r="BD13" s="50">
        <f>96459.87-635.3</f>
        <v>95824.569999999992</v>
      </c>
      <c r="BE13" s="50">
        <f>84954.66-635.3</f>
        <v>84319.360000000001</v>
      </c>
      <c r="BF13" s="50">
        <f>74219.02-635.3</f>
        <v>73583.72</v>
      </c>
      <c r="BG13" s="50">
        <f>65001.11-635.3</f>
        <v>64365.81</v>
      </c>
      <c r="BH13" s="50">
        <f>53309.84-635.3</f>
        <v>52674.539999999994</v>
      </c>
      <c r="BI13" s="50">
        <f>43246.5-333.8</f>
        <v>42912.7</v>
      </c>
      <c r="BJ13" s="50">
        <f>35416.66-20.12</f>
        <v>35396.54</v>
      </c>
      <c r="BK13" s="50">
        <f>22229.83-0</f>
        <v>22229.83</v>
      </c>
      <c r="BL13" s="50">
        <f>12564.2-0</f>
        <v>12564.2</v>
      </c>
      <c r="BM13" s="50">
        <f>123238.69-1297.46</f>
        <v>121941.23</v>
      </c>
      <c r="BN13" s="50">
        <f>111121.5-978.17</f>
        <v>110143.33</v>
      </c>
      <c r="BO13" s="50">
        <f>100976.77-959.48</f>
        <v>100017.29000000001</v>
      </c>
      <c r="BP13" s="50">
        <f>90910.31-936.27</f>
        <v>89974.04</v>
      </c>
      <c r="BQ13" s="50">
        <f>78947.58-936.27</f>
        <v>78011.31</v>
      </c>
      <c r="BR13" s="26">
        <f>70294.56-936.27</f>
        <v>69358.289999999994</v>
      </c>
      <c r="BS13" s="26">
        <f>(58593.37-936.27)</f>
        <v>57657.100000000006</v>
      </c>
      <c r="BT13" s="26">
        <f>(48997.75-873.18)</f>
        <v>48124.57</v>
      </c>
      <c r="BU13" s="52">
        <f>(40021.33-869.18)</f>
        <v>39152.15</v>
      </c>
      <c r="BV13" s="26">
        <f>(30611.09-697.96)</f>
        <v>29913.13</v>
      </c>
      <c r="BW13" s="26">
        <f>(20217.68-697.96)</f>
        <v>19519.72</v>
      </c>
      <c r="BX13" s="26">
        <f>(11012.82-697.96)</f>
        <v>10314.86</v>
      </c>
      <c r="BY13" s="26">
        <f>(150305.91-28054.87)</f>
        <v>122251.04000000001</v>
      </c>
      <c r="BZ13" s="26">
        <f>(138221.17-28054.87)</f>
        <v>110166.30000000002</v>
      </c>
      <c r="CA13" s="26">
        <f>(128034.77-28054.87)</f>
        <v>99979.900000000009</v>
      </c>
      <c r="CB13" s="26">
        <f>(118919.15-28054.87)</f>
        <v>90864.28</v>
      </c>
      <c r="CC13" s="26">
        <f>(108842.82-28054.87)</f>
        <v>80787.950000000012</v>
      </c>
      <c r="CD13" s="26">
        <f>(99979.98-28054.87)</f>
        <v>71925.11</v>
      </c>
      <c r="CE13" s="26">
        <f>(86616.98-28054.87)</f>
        <v>58562.11</v>
      </c>
      <c r="CF13" s="26">
        <f>(77238.59-27981.04)</f>
        <v>49257.549999999996</v>
      </c>
      <c r="CG13" s="26">
        <f>(51279.97-11709.7)</f>
        <v>39570.270000000004</v>
      </c>
      <c r="CH13" s="26">
        <f>(30585.44-1135.78)</f>
        <v>29449.66</v>
      </c>
      <c r="CI13" s="26">
        <f>(21028.39-150)</f>
        <v>20878.39</v>
      </c>
      <c r="CJ13" s="9">
        <v>11098.15</v>
      </c>
      <c r="CK13" s="26">
        <f>(135067.49-23755.84)</f>
        <v>111311.65</v>
      </c>
      <c r="CL13" s="26">
        <f>(125182.71-23755.84)</f>
        <v>101426.87000000001</v>
      </c>
      <c r="CM13" s="26">
        <f>(116596.59-23755.84)</f>
        <v>92840.75</v>
      </c>
      <c r="CN13" s="26">
        <f>(106649.09-23755.84)</f>
        <v>82893.25</v>
      </c>
      <c r="CO13" s="26">
        <f>(96846.84-23755.84)</f>
        <v>73091</v>
      </c>
      <c r="CP13" s="26">
        <f>(88425.34-23755.84)</f>
        <v>64669.5</v>
      </c>
      <c r="CQ13" s="26">
        <f>(77233.86-23755.84)</f>
        <v>53478.020000000004</v>
      </c>
      <c r="CR13" s="26">
        <f>(53834.91-8057.02)</f>
        <v>45777.89</v>
      </c>
      <c r="CS13" s="26">
        <f>(44391.49-7344.94)</f>
        <v>37046.549999999996</v>
      </c>
      <c r="CT13" s="26">
        <f>(27338.65-1526.32)</f>
        <v>25812.33</v>
      </c>
      <c r="CU13" s="26">
        <f>(19258.71-1288.57)</f>
        <v>17970.14</v>
      </c>
      <c r="CV13" s="26">
        <f>(10649.99-506.65)</f>
        <v>10143.34</v>
      </c>
      <c r="CW13" s="10">
        <v>115540.4</v>
      </c>
      <c r="CX13" s="10">
        <v>104659.05</v>
      </c>
      <c r="CY13" s="10">
        <v>95877.11</v>
      </c>
      <c r="CZ13" s="10">
        <v>86530.68</v>
      </c>
      <c r="DA13" s="10">
        <v>78335.34</v>
      </c>
      <c r="DB13" s="48">
        <f>98543.87-28573.11</f>
        <v>69970.759999999995</v>
      </c>
      <c r="DC13" s="48">
        <f>68115.97-9005.62</f>
        <v>59110.35</v>
      </c>
      <c r="DD13" s="48">
        <f>51337.23-2013.16</f>
        <v>49324.07</v>
      </c>
      <c r="DE13" s="48">
        <f>41173.06-1105.92</f>
        <v>40067.14</v>
      </c>
      <c r="DF13" s="48">
        <f>31849.6-797.94</f>
        <v>31051.66</v>
      </c>
      <c r="DG13" s="48">
        <f>21770.23-197.94</f>
        <v>21572.29</v>
      </c>
      <c r="DH13" s="48">
        <f>13700.23-197.94</f>
        <v>13502.289999999999</v>
      </c>
      <c r="DI13" s="48">
        <f>141771.38-37905.51</f>
        <v>103865.87</v>
      </c>
      <c r="DJ13" s="48">
        <f>131940.21-37617.8</f>
        <v>94322.409999999989</v>
      </c>
      <c r="DK13" s="48">
        <f>123167.82-36987</f>
        <v>86180.82</v>
      </c>
      <c r="DL13" s="48">
        <f>115581.16-36987</f>
        <v>78594.16</v>
      </c>
      <c r="DM13" s="48">
        <f>100991.76-36987</f>
        <v>64004.759999999995</v>
      </c>
      <c r="DN13" s="48">
        <f>89873.8-35301.79</f>
        <v>54572.01</v>
      </c>
      <c r="DO13" s="48">
        <f>57686.79-10566.83</f>
        <v>47119.96</v>
      </c>
      <c r="DP13" s="48">
        <f>46573.23-7698.84</f>
        <v>38874.39</v>
      </c>
      <c r="DQ13" s="48">
        <f>35702.89-6835.98</f>
        <v>28866.91</v>
      </c>
      <c r="DR13" s="48">
        <f>15509.91-392.48</f>
        <v>15117.43</v>
      </c>
      <c r="DS13" s="48">
        <f>9727.03-198.3</f>
        <v>9528.7300000000014</v>
      </c>
      <c r="DT13" s="48">
        <f>165283.61-55089.91</f>
        <v>110193.69999999998</v>
      </c>
      <c r="DU13" s="48">
        <f>154985.88-55089.91</f>
        <v>99895.97</v>
      </c>
      <c r="DV13" s="48">
        <f>147908.73-55089.91</f>
        <v>92818.82</v>
      </c>
      <c r="DW13" s="48">
        <f>137385.94-53318.11</f>
        <v>84067.83</v>
      </c>
      <c r="DX13" s="48">
        <f>129017.7-53318.11</f>
        <v>75699.59</v>
      </c>
      <c r="DY13" s="48">
        <f>120422.8-53318.11</f>
        <v>67104.69</v>
      </c>
      <c r="DZ13" s="48">
        <f>110494.93-53318.11</f>
        <v>57176.819999999992</v>
      </c>
      <c r="EA13" s="48">
        <f>102406.75-52731.61</f>
        <v>49675.14</v>
      </c>
      <c r="EB13" s="48">
        <f>56305.75-17474.25</f>
        <v>38831.5</v>
      </c>
      <c r="EC13" s="48">
        <f>29627.71-1697.38</f>
        <v>27930.329999999998</v>
      </c>
      <c r="ED13" s="48">
        <f>19782.49-632.98</f>
        <v>19149.510000000002</v>
      </c>
      <c r="EE13" s="48">
        <f>9721.86-132.98</f>
        <v>9588.880000000001</v>
      </c>
    </row>
    <row r="14" spans="1:140" x14ac:dyDescent="0.25">
      <c r="A14" s="75" t="s">
        <v>38</v>
      </c>
      <c r="D14" s="1" t="s">
        <v>43</v>
      </c>
      <c r="E14" s="26">
        <f>+(164243.35-4106)/12*12</f>
        <v>160137.35</v>
      </c>
      <c r="F14" s="26">
        <f>+(164243.35-4106)/12*11</f>
        <v>146792.57083333333</v>
      </c>
      <c r="G14" s="26">
        <f>+(164243.35-4106)/12*10</f>
        <v>133447.79166666669</v>
      </c>
      <c r="H14" s="26">
        <f>+(164243.35-4106)/12*9</f>
        <v>120103.01250000001</v>
      </c>
      <c r="I14" s="26">
        <f>+(164243.35-4106)/12*8</f>
        <v>106758.23333333334</v>
      </c>
      <c r="J14" s="26">
        <f>+(164243.35-4106)/12*7</f>
        <v>93413.454166666663</v>
      </c>
      <c r="K14" s="26">
        <f>+(164243.35-4106)/12*6</f>
        <v>80068.675000000003</v>
      </c>
      <c r="L14" s="26">
        <f>+(164243.35-4106)/12*5</f>
        <v>66723.895833333343</v>
      </c>
      <c r="M14" s="26">
        <f>+(164243.35-4106)/12*4</f>
        <v>53379.116666666669</v>
      </c>
      <c r="N14" s="26">
        <f>+(164243.35-4106)/12*3</f>
        <v>40034.337500000001</v>
      </c>
      <c r="O14" s="26">
        <f>+(164243.35-4106)/12*2</f>
        <v>26689.558333333334</v>
      </c>
      <c r="P14" s="26">
        <f>+(164243.35-4106)/12*1</f>
        <v>13344.779166666667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50">
        <f>+(165347-31090)/12*7</f>
        <v>78316.583333333343</v>
      </c>
      <c r="BG14" s="50">
        <f>+(165347-31090)/12*6</f>
        <v>67128.5</v>
      </c>
      <c r="BH14" s="50">
        <f>+(165347-31090)/12*5</f>
        <v>55940.416666666672</v>
      </c>
      <c r="BI14" s="50">
        <f>+(165347-31090)/12*4</f>
        <v>44752.333333333336</v>
      </c>
      <c r="BJ14" s="50">
        <f>+(165347-31090)/12*3</f>
        <v>33564.25</v>
      </c>
      <c r="BK14" s="50">
        <f>+(165347-31090)/12*2</f>
        <v>22376.166666666668</v>
      </c>
      <c r="BL14" s="50">
        <f>+(165347-31090)/12*1</f>
        <v>11188.083333333334</v>
      </c>
      <c r="BM14" s="50">
        <f>+(165347-31090)/12*12</f>
        <v>134257</v>
      </c>
      <c r="BN14" s="50">
        <f>+(165347-31090)/12*11</f>
        <v>123068.91666666667</v>
      </c>
      <c r="BO14" s="50">
        <f>+(165347-31090)/12*10</f>
        <v>111880.83333333334</v>
      </c>
      <c r="BP14" s="50">
        <f>+(165347-31090)/12*9</f>
        <v>100692.75</v>
      </c>
      <c r="BQ14" s="50">
        <f>+(165347-31090)/12*8</f>
        <v>89504.666666666672</v>
      </c>
      <c r="BR14" s="26">
        <f>+(165347-31090)/12*7</f>
        <v>78316.583333333343</v>
      </c>
      <c r="BS14" s="26">
        <f>+(165347-31090)/12*6</f>
        <v>67128.5</v>
      </c>
      <c r="BT14" s="26">
        <f>+(165347-31090)/12*5</f>
        <v>55940.416666666672</v>
      </c>
      <c r="BU14" s="52">
        <f>+(165347-31090)/12*4</f>
        <v>44752.333333333336</v>
      </c>
      <c r="BV14" s="26">
        <f>+(165347-31090)/12*3</f>
        <v>33564.25</v>
      </c>
      <c r="BW14" s="26">
        <f>+(165347-31090)/12*2</f>
        <v>22376.166666666668</v>
      </c>
      <c r="BX14" s="26">
        <f>+(165347-31090)/12*1</f>
        <v>11188.083333333334</v>
      </c>
      <c r="BY14" s="26">
        <f>+(173675-38900)/12*12</f>
        <v>134775</v>
      </c>
      <c r="BZ14" s="26">
        <f>+(173675-38900)/12*11</f>
        <v>123543.75</v>
      </c>
      <c r="CA14" s="26">
        <f>+(173675-38900)/12*10</f>
        <v>112312.5</v>
      </c>
      <c r="CB14" s="26">
        <f>+(173675-38900)/12*9</f>
        <v>101081.25</v>
      </c>
      <c r="CC14" s="26">
        <f>+(173675-38900)/12*8</f>
        <v>89850</v>
      </c>
      <c r="CD14" s="26">
        <f>+(173675-38900)/12*7</f>
        <v>78618.75</v>
      </c>
      <c r="CE14" s="26">
        <f>+(173675-38900)/12*6</f>
        <v>67387.5</v>
      </c>
      <c r="CF14" s="26">
        <f>+(173675-38900)/12*5</f>
        <v>56156.25</v>
      </c>
      <c r="CG14" s="26">
        <f>+(173675-38900)/12*4</f>
        <v>44925</v>
      </c>
      <c r="CH14" s="26">
        <f>+(173675-38900)/12*3</f>
        <v>33693.75</v>
      </c>
      <c r="CI14" s="26">
        <f>+(173675-38900)/12*2</f>
        <v>22462.5</v>
      </c>
      <c r="CJ14" s="26">
        <f>+(173675-38900)/12*1</f>
        <v>11231.25</v>
      </c>
      <c r="CK14" s="26">
        <f>+(158897-34415)/12*12</f>
        <v>124482</v>
      </c>
      <c r="CL14" s="26">
        <f>+(158897-34415)/12*11</f>
        <v>114108.5</v>
      </c>
      <c r="CM14" s="26">
        <f>+(158897-34415)/12*10</f>
        <v>103735</v>
      </c>
      <c r="CN14" s="26">
        <f>+(158897-34415)/12*9</f>
        <v>93361.5</v>
      </c>
      <c r="CO14" s="26">
        <f>+(158897-34415)/12*8</f>
        <v>82988</v>
      </c>
      <c r="CP14" s="26">
        <f>+(158897-34415)/12*7</f>
        <v>72614.5</v>
      </c>
      <c r="CQ14" s="26">
        <f>+(158897-34415)/12*6</f>
        <v>62241</v>
      </c>
      <c r="CR14" s="26">
        <f>+(158897-34415)/12*5</f>
        <v>51867.5</v>
      </c>
      <c r="CS14" s="26">
        <f>+(158897-34415)/12*4</f>
        <v>41494</v>
      </c>
      <c r="CT14" s="26">
        <f>+(158897-34415)/12*3</f>
        <v>31120.5</v>
      </c>
      <c r="CU14" s="26">
        <f>+(158897-34415)/12*2</f>
        <v>20747</v>
      </c>
      <c r="CV14" s="26">
        <f>+(158897-34415)/12</f>
        <v>10373.5</v>
      </c>
      <c r="CW14" s="48">
        <f>+(169577-41565)/12*12</f>
        <v>128012</v>
      </c>
      <c r="CX14" s="48">
        <f>+(169577-41565)/12*11</f>
        <v>117344.33333333333</v>
      </c>
      <c r="CY14" s="48">
        <f>+(169577-41565)/12*10</f>
        <v>106676.66666666666</v>
      </c>
      <c r="CZ14" s="48">
        <f>+(169577-41565)/12*9</f>
        <v>96009</v>
      </c>
      <c r="DA14" s="48">
        <f>+(169577-41565)/12*8</f>
        <v>85341.333333333328</v>
      </c>
      <c r="DB14" s="48">
        <f>+(169577-41565)/12*7</f>
        <v>74673.666666666657</v>
      </c>
      <c r="DC14" s="48">
        <f>+(169577-41565)/12*6</f>
        <v>64006</v>
      </c>
      <c r="DD14" s="48">
        <f>+(169577-41565)/12*5</f>
        <v>53338.333333333328</v>
      </c>
      <c r="DE14" s="48">
        <f>+(169577-41565)/12*4</f>
        <v>42670.666666666664</v>
      </c>
      <c r="DF14" s="48">
        <f>+(169577-41565)/12*3</f>
        <v>32003</v>
      </c>
      <c r="DG14" s="48">
        <f>+(169577-41565)/12*2</f>
        <v>21335.333333333332</v>
      </c>
      <c r="DH14" s="48">
        <f>+(169577-41565)/12</f>
        <v>10667.666666666666</v>
      </c>
      <c r="DI14" s="48">
        <f>+(171526-40275)/12*11</f>
        <v>120313.41666666667</v>
      </c>
      <c r="DJ14" s="48">
        <f>+(171526-40275)/12*10</f>
        <v>109375.83333333334</v>
      </c>
      <c r="DK14" s="48">
        <f>+(171526-40275)/12*9</f>
        <v>98438.25</v>
      </c>
      <c r="DL14" s="48">
        <f>+(171526-40275)/12*8</f>
        <v>87500.666666666672</v>
      </c>
      <c r="DM14" s="48">
        <f>+(171526-40275)/12*7</f>
        <v>76563.083333333343</v>
      </c>
      <c r="DN14" s="48">
        <f>+(171526-40275)/12*6</f>
        <v>65625.5</v>
      </c>
      <c r="DO14" s="48">
        <f>+(171526-40275)/12*5</f>
        <v>54687.916666666672</v>
      </c>
      <c r="DP14" s="48">
        <f>+(171526-40275)/12*4</f>
        <v>43750.333333333336</v>
      </c>
      <c r="DQ14" s="48">
        <f>+(171526-40275)/12*3</f>
        <v>32812.75</v>
      </c>
      <c r="DR14" s="48">
        <f>+(171526-40275)/12*2</f>
        <v>21875.166666666668</v>
      </c>
      <c r="DS14" s="48">
        <f>+(171526-40275)/12</f>
        <v>10937.583333333334</v>
      </c>
      <c r="DT14" s="48">
        <f>131660/12*12</f>
        <v>131660</v>
      </c>
      <c r="DU14" s="48">
        <f>131660/12*11</f>
        <v>120688.33333333333</v>
      </c>
      <c r="DV14" s="48">
        <f>131660/12*10</f>
        <v>109716.66666666666</v>
      </c>
      <c r="DW14" s="48">
        <f>131660/12*9</f>
        <v>98745</v>
      </c>
      <c r="DX14" s="48">
        <f>131660/12*8</f>
        <v>87773.333333333328</v>
      </c>
      <c r="DY14" s="48">
        <f>131660/12*7</f>
        <v>76801.666666666657</v>
      </c>
      <c r="DZ14" s="48">
        <f>131660/12*6</f>
        <v>65830</v>
      </c>
      <c r="EA14" s="48">
        <f>131660/12*5</f>
        <v>54858.333333333328</v>
      </c>
      <c r="EB14" s="48">
        <f>131660/12*4</f>
        <v>43886.666666666664</v>
      </c>
      <c r="EC14" s="48">
        <f>131660/12*3</f>
        <v>32915</v>
      </c>
      <c r="ED14" s="48">
        <f>131660/12*2</f>
        <v>21943.333333333332</v>
      </c>
      <c r="EE14" s="48">
        <f>131660/12</f>
        <v>10971.666666666666</v>
      </c>
    </row>
    <row r="15" spans="1:140" x14ac:dyDescent="0.25">
      <c r="D15" s="1" t="s">
        <v>44</v>
      </c>
      <c r="E15" s="24">
        <f t="shared" ref="E15:F15" si="32">+E14-E13</f>
        <v>7625.570000000007</v>
      </c>
      <c r="F15" s="24">
        <f t="shared" si="32"/>
        <v>10688.310833333351</v>
      </c>
      <c r="G15" s="24">
        <f t="shared" ref="G15:H15" si="33">+G14-G13</f>
        <v>8118.5716666666849</v>
      </c>
      <c r="H15" s="24">
        <f t="shared" si="33"/>
        <v>2990.7325000000128</v>
      </c>
      <c r="I15" s="24">
        <f t="shared" ref="I15:J15" si="34">+I14-I13</f>
        <v>4392.1133333333419</v>
      </c>
      <c r="J15" s="24">
        <f t="shared" si="34"/>
        <v>4517.2141666666575</v>
      </c>
      <c r="K15" s="24">
        <f t="shared" ref="K15:L15" si="35">+K14-K13</f>
        <v>5657.0449999999983</v>
      </c>
      <c r="L15" s="24">
        <f t="shared" si="35"/>
        <v>4732.2158333333427</v>
      </c>
      <c r="M15" s="24">
        <f t="shared" ref="M15:N15" si="36">+M14-M13</f>
        <v>3566.7866666666669</v>
      </c>
      <c r="N15" s="24">
        <f t="shared" si="36"/>
        <v>2092.2975000000006</v>
      </c>
      <c r="O15" s="24">
        <f t="shared" ref="O15:P15" si="37">+O14-O13</f>
        <v>1202.5283333333355</v>
      </c>
      <c r="P15" s="24">
        <f t="shared" si="37"/>
        <v>-268.70083333333241</v>
      </c>
      <c r="Q15" s="91">
        <f t="shared" ref="Q15:CB15" si="38">+Q14-Q13</f>
        <v>-16926.229999999981</v>
      </c>
      <c r="R15" s="83">
        <f t="shared" si="38"/>
        <v>-10554.023333333331</v>
      </c>
      <c r="S15" s="83">
        <f t="shared" si="38"/>
        <v>-11623.46666666666</v>
      </c>
      <c r="T15" s="83">
        <f t="shared" si="38"/>
        <v>-10584.030000000013</v>
      </c>
      <c r="U15" s="83">
        <f t="shared" si="38"/>
        <v>-9320.0933333333232</v>
      </c>
      <c r="V15" s="83">
        <f t="shared" si="38"/>
        <v>-10161.226666666655</v>
      </c>
      <c r="W15" s="83">
        <f t="shared" si="38"/>
        <v>-7747.4599999999919</v>
      </c>
      <c r="X15" s="83">
        <f t="shared" si="38"/>
        <v>-6039.8133333333317</v>
      </c>
      <c r="Y15" s="83">
        <f t="shared" si="38"/>
        <v>-7661.8166666666657</v>
      </c>
      <c r="Z15" s="83">
        <f t="shared" si="38"/>
        <v>-6237.6599999999962</v>
      </c>
      <c r="AA15" s="83">
        <f t="shared" si="38"/>
        <v>-5051.8033333333333</v>
      </c>
      <c r="AB15" s="83">
        <f t="shared" si="38"/>
        <v>-5715.9466666666649</v>
      </c>
      <c r="AC15" s="83">
        <f t="shared" si="38"/>
        <v>-9427.1699999999837</v>
      </c>
      <c r="AD15" s="83">
        <f t="shared" si="38"/>
        <v>-8027.5533333333296</v>
      </c>
      <c r="AE15" s="83">
        <f t="shared" si="38"/>
        <v>-7967.2066666666506</v>
      </c>
      <c r="AF15" s="83">
        <f t="shared" si="38"/>
        <v>-7245.4700000000012</v>
      </c>
      <c r="AG15" s="83">
        <f t="shared" si="38"/>
        <v>-6469.7333333333227</v>
      </c>
      <c r="AH15" s="24">
        <f t="shared" si="38"/>
        <v>-6454.9866666666494</v>
      </c>
      <c r="AI15" s="83">
        <f t="shared" si="38"/>
        <v>-5317.7299999999959</v>
      </c>
      <c r="AJ15" s="83">
        <f t="shared" si="38"/>
        <v>-3900.1733333333323</v>
      </c>
      <c r="AK15" s="83">
        <f t="shared" si="38"/>
        <v>-3465.6266666666706</v>
      </c>
      <c r="AL15" s="24">
        <f t="shared" si="38"/>
        <v>-4785.6199999999953</v>
      </c>
      <c r="AM15" s="24">
        <f t="shared" si="38"/>
        <v>-3472.8133333333317</v>
      </c>
      <c r="AN15" s="24">
        <f t="shared" si="38"/>
        <v>-4118.6366666666672</v>
      </c>
      <c r="AO15" s="24">
        <f t="shared" si="38"/>
        <v>947.61000000001513</v>
      </c>
      <c r="AP15" s="24">
        <f t="shared" si="38"/>
        <v>3901.826666666675</v>
      </c>
      <c r="AQ15" s="24">
        <f t="shared" si="38"/>
        <v>3099.5233333333454</v>
      </c>
      <c r="AR15" s="24">
        <f t="shared" si="38"/>
        <v>1169.3300000000017</v>
      </c>
      <c r="AS15" s="24">
        <f t="shared" si="38"/>
        <v>-941.83333333332848</v>
      </c>
      <c r="AT15" s="24">
        <f t="shared" si="38"/>
        <v>-2122.8266666666605</v>
      </c>
      <c r="AU15" s="24">
        <f t="shared" si="38"/>
        <v>-2344.3000000000029</v>
      </c>
      <c r="AV15" s="24">
        <f t="shared" si="38"/>
        <v>779.34666666667181</v>
      </c>
      <c r="AW15" s="24">
        <f t="shared" si="38"/>
        <v>-1234.4766666666692</v>
      </c>
      <c r="AX15" s="24">
        <f t="shared" si="38"/>
        <v>-1683.7400000000052</v>
      </c>
      <c r="AY15" s="24">
        <f t="shared" si="38"/>
        <v>-76.773333333330811</v>
      </c>
      <c r="AZ15" s="24">
        <f t="shared" si="38"/>
        <v>-1470.5866666666661</v>
      </c>
      <c r="BA15" s="24">
        <f t="shared" si="38"/>
        <v>3677.0900000000111</v>
      </c>
      <c r="BB15" s="24">
        <f t="shared" si="38"/>
        <v>9009.6966666666704</v>
      </c>
      <c r="BC15" s="24">
        <f t="shared" si="38"/>
        <v>7005.813333333339</v>
      </c>
      <c r="BD15" s="24">
        <f t="shared" si="38"/>
        <v>4868.1800000000076</v>
      </c>
      <c r="BE15" s="24">
        <f t="shared" si="38"/>
        <v>5185.3066666666709</v>
      </c>
      <c r="BF15" s="24">
        <f t="shared" si="38"/>
        <v>4732.8633333333419</v>
      </c>
      <c r="BG15" s="24">
        <f t="shared" si="38"/>
        <v>2762.6900000000023</v>
      </c>
      <c r="BH15" s="24">
        <f t="shared" si="38"/>
        <v>3265.8766666666779</v>
      </c>
      <c r="BI15" s="24">
        <f t="shared" si="38"/>
        <v>1839.6333333333387</v>
      </c>
      <c r="BJ15" s="24">
        <f t="shared" si="38"/>
        <v>-1832.2900000000009</v>
      </c>
      <c r="BK15" s="24">
        <f t="shared" si="38"/>
        <v>146.33666666666613</v>
      </c>
      <c r="BL15" s="24">
        <f t="shared" si="38"/>
        <v>-1376.1166666666668</v>
      </c>
      <c r="BM15" s="24">
        <f t="shared" si="38"/>
        <v>12315.770000000004</v>
      </c>
      <c r="BN15" s="24">
        <f t="shared" si="38"/>
        <v>12925.58666666667</v>
      </c>
      <c r="BO15" s="24">
        <f t="shared" si="38"/>
        <v>11863.543333333335</v>
      </c>
      <c r="BP15" s="24">
        <f t="shared" si="38"/>
        <v>10718.710000000006</v>
      </c>
      <c r="BQ15" s="24">
        <f t="shared" si="38"/>
        <v>11493.356666666674</v>
      </c>
      <c r="BR15" s="42">
        <f t="shared" si="38"/>
        <v>8958.2933333333494</v>
      </c>
      <c r="BS15" s="24">
        <f t="shared" si="38"/>
        <v>9471.3999999999942</v>
      </c>
      <c r="BT15" s="24">
        <f t="shared" si="38"/>
        <v>7815.8466666666718</v>
      </c>
      <c r="BU15" s="43">
        <f t="shared" si="38"/>
        <v>5600.1833333333343</v>
      </c>
      <c r="BV15" s="24">
        <f t="shared" si="38"/>
        <v>3651.119999999999</v>
      </c>
      <c r="BW15" s="24">
        <f t="shared" si="38"/>
        <v>2856.4466666666667</v>
      </c>
      <c r="BX15" s="24">
        <f t="shared" si="38"/>
        <v>873.22333333333336</v>
      </c>
      <c r="BY15" s="24">
        <f t="shared" si="38"/>
        <v>12523.959999999992</v>
      </c>
      <c r="BZ15" s="24">
        <f t="shared" si="38"/>
        <v>13377.449999999983</v>
      </c>
      <c r="CA15" s="24">
        <f t="shared" si="38"/>
        <v>12332.599999999991</v>
      </c>
      <c r="CB15" s="24">
        <f t="shared" si="38"/>
        <v>10216.970000000001</v>
      </c>
      <c r="CC15" s="24">
        <f t="shared" ref="CC15:EE15" si="39">+CC14-CC13</f>
        <v>9062.0499999999884</v>
      </c>
      <c r="CD15" s="24">
        <f t="shared" si="39"/>
        <v>6693.6399999999994</v>
      </c>
      <c r="CE15" s="24">
        <f t="shared" si="39"/>
        <v>8825.39</v>
      </c>
      <c r="CF15" s="24">
        <f t="shared" si="39"/>
        <v>6898.7000000000044</v>
      </c>
      <c r="CG15" s="24">
        <f t="shared" si="39"/>
        <v>5354.7299999999959</v>
      </c>
      <c r="CH15" s="24">
        <f t="shared" si="39"/>
        <v>4244.09</v>
      </c>
      <c r="CI15" s="24">
        <f t="shared" si="39"/>
        <v>1584.1100000000006</v>
      </c>
      <c r="CJ15" s="24">
        <f t="shared" si="39"/>
        <v>133.10000000000036</v>
      </c>
      <c r="CK15" s="24">
        <f t="shared" si="39"/>
        <v>13170.350000000006</v>
      </c>
      <c r="CL15" s="24">
        <f t="shared" si="39"/>
        <v>12681.62999999999</v>
      </c>
      <c r="CM15" s="24">
        <f t="shared" si="39"/>
        <v>10894.25</v>
      </c>
      <c r="CN15" s="24">
        <f t="shared" si="39"/>
        <v>10468.25</v>
      </c>
      <c r="CO15" s="24">
        <f t="shared" si="39"/>
        <v>9897</v>
      </c>
      <c r="CP15" s="24">
        <f t="shared" si="39"/>
        <v>7945</v>
      </c>
      <c r="CQ15" s="24">
        <f t="shared" si="39"/>
        <v>8762.9799999999959</v>
      </c>
      <c r="CR15" s="24">
        <f t="shared" si="39"/>
        <v>6089.6100000000006</v>
      </c>
      <c r="CS15" s="24">
        <f t="shared" si="39"/>
        <v>4447.4500000000044</v>
      </c>
      <c r="CT15" s="24">
        <f t="shared" si="39"/>
        <v>5308.1699999999983</v>
      </c>
      <c r="CU15" s="24">
        <f t="shared" si="39"/>
        <v>2776.8600000000006</v>
      </c>
      <c r="CV15" s="24">
        <f t="shared" si="39"/>
        <v>230.15999999999985</v>
      </c>
      <c r="CW15" s="24">
        <f t="shared" si="39"/>
        <v>12471.600000000006</v>
      </c>
      <c r="CX15" s="24">
        <f t="shared" si="39"/>
        <v>12685.283333333326</v>
      </c>
      <c r="CY15" s="24">
        <f t="shared" si="39"/>
        <v>10799.556666666656</v>
      </c>
      <c r="CZ15" s="24">
        <f t="shared" si="39"/>
        <v>9478.320000000007</v>
      </c>
      <c r="DA15" s="24">
        <f t="shared" si="39"/>
        <v>7005.993333333332</v>
      </c>
      <c r="DB15" s="24">
        <f t="shared" si="39"/>
        <v>4702.9066666666622</v>
      </c>
      <c r="DC15" s="24">
        <f t="shared" si="39"/>
        <v>4895.6500000000015</v>
      </c>
      <c r="DD15" s="24">
        <f t="shared" si="39"/>
        <v>4014.2633333333288</v>
      </c>
      <c r="DE15" s="24">
        <f t="shared" si="39"/>
        <v>2603.5266666666648</v>
      </c>
      <c r="DF15" s="24">
        <f t="shared" si="39"/>
        <v>951.34000000000015</v>
      </c>
      <c r="DG15" s="24">
        <f t="shared" si="39"/>
        <v>-236.95666666666875</v>
      </c>
      <c r="DH15" s="24">
        <f t="shared" si="39"/>
        <v>-2834.623333333333</v>
      </c>
      <c r="DI15" s="24">
        <f t="shared" si="39"/>
        <v>16447.546666666676</v>
      </c>
      <c r="DJ15" s="24">
        <f t="shared" si="39"/>
        <v>15053.423333333354</v>
      </c>
      <c r="DK15" s="24">
        <f t="shared" si="39"/>
        <v>12257.429999999993</v>
      </c>
      <c r="DL15" s="24">
        <f t="shared" si="39"/>
        <v>8906.506666666668</v>
      </c>
      <c r="DM15" s="24">
        <f t="shared" si="39"/>
        <v>12558.323333333348</v>
      </c>
      <c r="DN15" s="24">
        <f t="shared" si="39"/>
        <v>11053.489999999998</v>
      </c>
      <c r="DO15" s="24">
        <f t="shared" si="39"/>
        <v>7567.9566666666724</v>
      </c>
      <c r="DP15" s="24">
        <f t="shared" si="39"/>
        <v>4875.9433333333363</v>
      </c>
      <c r="DQ15" s="24">
        <f t="shared" si="39"/>
        <v>3945.84</v>
      </c>
      <c r="DR15" s="24">
        <f t="shared" si="39"/>
        <v>6757.7366666666676</v>
      </c>
      <c r="DS15" s="24">
        <f t="shared" si="39"/>
        <v>1408.8533333333326</v>
      </c>
      <c r="DT15" s="24">
        <f t="shared" si="39"/>
        <v>21466.300000000017</v>
      </c>
      <c r="DU15" s="24">
        <f t="shared" si="39"/>
        <v>20792.363333333327</v>
      </c>
      <c r="DV15" s="24">
        <f t="shared" si="39"/>
        <v>16897.84666666665</v>
      </c>
      <c r="DW15" s="24">
        <f t="shared" si="39"/>
        <v>14677.169999999998</v>
      </c>
      <c r="DX15" s="24">
        <f t="shared" si="39"/>
        <v>12073.743333333332</v>
      </c>
      <c r="DY15" s="24">
        <f t="shared" si="39"/>
        <v>9696.9766666666546</v>
      </c>
      <c r="DZ15" s="24">
        <f t="shared" si="39"/>
        <v>8653.1800000000076</v>
      </c>
      <c r="EA15" s="24">
        <f t="shared" si="39"/>
        <v>5183.1933333333291</v>
      </c>
      <c r="EB15" s="24">
        <f t="shared" si="39"/>
        <v>5055.1666666666642</v>
      </c>
      <c r="EC15" s="24">
        <f t="shared" si="39"/>
        <v>4984.6700000000019</v>
      </c>
      <c r="ED15" s="24">
        <f t="shared" si="39"/>
        <v>2793.8233333333301</v>
      </c>
      <c r="EE15" s="24">
        <f t="shared" si="39"/>
        <v>1382.786666666665</v>
      </c>
    </row>
    <row r="16" spans="1:140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7"/>
      <c r="BG16" s="17"/>
      <c r="BH16" s="17"/>
      <c r="BI16" s="17"/>
      <c r="BJ16" s="15"/>
      <c r="BK16" s="17"/>
      <c r="BL16" s="17"/>
      <c r="BM16" s="17"/>
      <c r="BN16" s="17"/>
      <c r="BO16" s="17"/>
      <c r="BP16" s="14"/>
      <c r="BQ16" s="16"/>
      <c r="BR16" s="1"/>
      <c r="BS16" s="1"/>
      <c r="BU16" s="37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</row>
    <row r="17" spans="1:135" ht="15.75" thickBot="1" x14ac:dyDescent="0.3">
      <c r="A17" s="1" t="s">
        <v>45</v>
      </c>
      <c r="D17" s="1" t="s">
        <v>46</v>
      </c>
      <c r="E17" s="27">
        <f t="shared" ref="E17:F17" si="40">+E15+E7+E11</f>
        <v>-100875.73</v>
      </c>
      <c r="F17" s="27">
        <f t="shared" si="40"/>
        <v>-90482.359166666662</v>
      </c>
      <c r="G17" s="27">
        <f t="shared" ref="G17:H17" si="41">+G15+G7+G11</f>
        <v>-85164.005000000005</v>
      </c>
      <c r="H17" s="27">
        <f t="shared" si="41"/>
        <v>-82776.897499999992</v>
      </c>
      <c r="I17" s="27">
        <f t="shared" ref="I17:J17" si="42">+I15+I7+I11</f>
        <v>-74531.786666666667</v>
      </c>
      <c r="J17" s="27">
        <f t="shared" si="42"/>
        <v>-66804.749166666676</v>
      </c>
      <c r="K17" s="27">
        <f t="shared" ref="K17:L17" si="43">+K15+K7+K11</f>
        <v>-57445.061666666676</v>
      </c>
      <c r="L17" s="27">
        <f t="shared" si="43"/>
        <v>-50501.574166666673</v>
      </c>
      <c r="M17" s="27">
        <f t="shared" ref="M17:N17" si="44">+M15+M7+M11</f>
        <v>-45849.576666666675</v>
      </c>
      <c r="N17" s="27">
        <f t="shared" si="44"/>
        <v>-41302.7425</v>
      </c>
      <c r="O17" s="27">
        <f t="shared" ref="O17:P17" si="45">+O15+O7+O11</f>
        <v>-33581.205000000002</v>
      </c>
      <c r="P17" s="27">
        <f t="shared" si="45"/>
        <v>-25766.487500000003</v>
      </c>
      <c r="Q17" s="94">
        <f t="shared" ref="Q17:CB17" si="46">+Q15+Q7+Q11</f>
        <v>-29468.443333333307</v>
      </c>
      <c r="R17" s="84">
        <f t="shared" si="46"/>
        <v>-22257.92666666667</v>
      </c>
      <c r="S17" s="84">
        <f t="shared" si="46"/>
        <v>-21274.033333333333</v>
      </c>
      <c r="T17" s="84">
        <f t="shared" si="46"/>
        <v>-23105.020000000019</v>
      </c>
      <c r="U17" s="84">
        <f t="shared" si="46"/>
        <v>-22795.239999999972</v>
      </c>
      <c r="V17" s="84">
        <f t="shared" si="46"/>
        <v>-25839.039999999994</v>
      </c>
      <c r="W17" s="84">
        <f t="shared" si="46"/>
        <v>-23261.82666666666</v>
      </c>
      <c r="X17" s="84">
        <f t="shared" si="46"/>
        <v>-19808.250000000004</v>
      </c>
      <c r="Y17" s="84">
        <f t="shared" si="46"/>
        <v>-13801.306666666665</v>
      </c>
      <c r="Z17" s="84">
        <f t="shared" si="46"/>
        <v>-16602.156666666662</v>
      </c>
      <c r="AA17" s="84">
        <f t="shared" si="46"/>
        <v>-15772.136666666665</v>
      </c>
      <c r="AB17" s="84">
        <f t="shared" si="46"/>
        <v>-16010.033333333327</v>
      </c>
      <c r="AC17" s="84">
        <f t="shared" si="46"/>
        <v>-17548.53</v>
      </c>
      <c r="AD17" s="84">
        <f t="shared" si="46"/>
        <v>-16810.006666666657</v>
      </c>
      <c r="AE17" s="84">
        <f t="shared" si="46"/>
        <v>-15838.026666666658</v>
      </c>
      <c r="AF17" s="84">
        <f t="shared" si="46"/>
        <v>-18552.286666666667</v>
      </c>
      <c r="AG17" s="84">
        <f t="shared" si="46"/>
        <v>-23766.733333333326</v>
      </c>
      <c r="AH17" s="27">
        <f t="shared" si="46"/>
        <v>-23073.786666666652</v>
      </c>
      <c r="AI17" s="84">
        <f t="shared" si="46"/>
        <v>-20096.93</v>
      </c>
      <c r="AJ17" s="84">
        <f t="shared" si="46"/>
        <v>-17542.303333333319</v>
      </c>
      <c r="AK17" s="84">
        <f t="shared" si="46"/>
        <v>-16549.893333333333</v>
      </c>
      <c r="AL17" s="27">
        <f t="shared" si="46"/>
        <v>-17448.793333333335</v>
      </c>
      <c r="AM17" s="27">
        <f t="shared" si="46"/>
        <v>-17460.87666666666</v>
      </c>
      <c r="AN17" s="27">
        <f t="shared" si="46"/>
        <v>-17755.123333333333</v>
      </c>
      <c r="AO17" s="27">
        <f t="shared" si="46"/>
        <v>-4436.2200000000012</v>
      </c>
      <c r="AP17" s="27">
        <f t="shared" si="46"/>
        <v>-676.78666666665595</v>
      </c>
      <c r="AQ17" s="27">
        <f t="shared" si="46"/>
        <v>-598.77333333332354</v>
      </c>
      <c r="AR17" s="27">
        <f t="shared" si="46"/>
        <v>-2732.070000000007</v>
      </c>
      <c r="AS17" s="27">
        <f t="shared" si="46"/>
        <v>-6296.0366666666559</v>
      </c>
      <c r="AT17" s="27">
        <f t="shared" si="46"/>
        <v>-7397.2933333333294</v>
      </c>
      <c r="AU17" s="27">
        <f t="shared" si="46"/>
        <v>-7486.5200000000041</v>
      </c>
      <c r="AV17" s="27">
        <f t="shared" si="46"/>
        <v>-3547.7466666666551</v>
      </c>
      <c r="AW17" s="27">
        <f t="shared" si="46"/>
        <v>-4943.4833333333318</v>
      </c>
      <c r="AX17" s="27">
        <f t="shared" si="46"/>
        <v>-6198.1000000000058</v>
      </c>
      <c r="AY17" s="74">
        <f t="shared" si="46"/>
        <v>-4212.1466666666647</v>
      </c>
      <c r="AZ17" s="27">
        <f t="shared" si="46"/>
        <v>-6279.8633333333328</v>
      </c>
      <c r="BA17" s="27">
        <f t="shared" si="46"/>
        <v>13323.100000000006</v>
      </c>
      <c r="BB17" s="27">
        <f t="shared" si="46"/>
        <v>16946.233333333348</v>
      </c>
      <c r="BC17" s="27">
        <f t="shared" si="46"/>
        <v>14353.186666666683</v>
      </c>
      <c r="BD17" s="27">
        <f t="shared" si="46"/>
        <v>5994.4000000000087</v>
      </c>
      <c r="BE17" s="27">
        <f t="shared" si="46"/>
        <v>2440.2033333333347</v>
      </c>
      <c r="BF17" s="27">
        <f t="shared" si="46"/>
        <v>1053.0766666666805</v>
      </c>
      <c r="BG17" s="27">
        <f t="shared" si="46"/>
        <v>-1196.0699999999924</v>
      </c>
      <c r="BH17" s="27">
        <f t="shared" si="46"/>
        <v>-1004.6266666666525</v>
      </c>
      <c r="BI17" s="27">
        <f t="shared" si="46"/>
        <v>-4213.643333333328</v>
      </c>
      <c r="BJ17" s="27">
        <f t="shared" si="46"/>
        <v>-7752.2800000000061</v>
      </c>
      <c r="BK17" s="27">
        <f t="shared" si="46"/>
        <v>-8619.1966666666631</v>
      </c>
      <c r="BL17" s="27">
        <f t="shared" si="46"/>
        <v>-10903.053333333337</v>
      </c>
      <c r="BM17" s="27">
        <f t="shared" si="46"/>
        <v>16214.201428571429</v>
      </c>
      <c r="BN17" s="27">
        <f t="shared" si="46"/>
        <v>15068.000476190478</v>
      </c>
      <c r="BO17" s="27">
        <f t="shared" si="46"/>
        <v>13843.749523809525</v>
      </c>
      <c r="BP17" s="27">
        <f t="shared" si="46"/>
        <v>8660.2100000000064</v>
      </c>
      <c r="BQ17" s="27">
        <f t="shared" si="46"/>
        <v>5978.1990476190585</v>
      </c>
      <c r="BR17" s="27">
        <f t="shared" si="46"/>
        <v>897.27238095240136</v>
      </c>
      <c r="BS17" s="27">
        <f t="shared" si="46"/>
        <v>1204.1199999999953</v>
      </c>
      <c r="BT17" s="27">
        <f t="shared" si="46"/>
        <v>368.0033333333522</v>
      </c>
      <c r="BU17" s="56">
        <f t="shared" si="46"/>
        <v>-1393.3933333333352</v>
      </c>
      <c r="BV17" s="27">
        <f t="shared" si="46"/>
        <v>-2305.9400000000023</v>
      </c>
      <c r="BW17" s="27">
        <f t="shared" si="46"/>
        <v>-1956.9766666666628</v>
      </c>
      <c r="BX17" s="27">
        <f t="shared" si="46"/>
        <v>-986.34333333332734</v>
      </c>
      <c r="BY17" s="27">
        <f t="shared" si="46"/>
        <v>-1152.8199999999888</v>
      </c>
      <c r="BZ17" s="27">
        <f t="shared" si="46"/>
        <v>1302.8175757575591</v>
      </c>
      <c r="CA17" s="27">
        <f t="shared" si="46"/>
        <v>1014.4033333333427</v>
      </c>
      <c r="CB17" s="27">
        <f t="shared" si="46"/>
        <v>-242.6933333333327</v>
      </c>
      <c r="CC17" s="27">
        <f t="shared" ref="CC17:DS17" si="47">+CC15+CC7+CC11</f>
        <v>-588.38333333333503</v>
      </c>
      <c r="CD17" s="27">
        <f t="shared" si="47"/>
        <v>-2494.6452380952451</v>
      </c>
      <c r="CE17" s="27">
        <f t="shared" si="47"/>
        <v>629.36000000000422</v>
      </c>
      <c r="CF17" s="27">
        <f t="shared" si="47"/>
        <v>-431.77333333333081</v>
      </c>
      <c r="CG17" s="27">
        <f t="shared" si="47"/>
        <v>-415.62666666667246</v>
      </c>
      <c r="CH17" s="27">
        <f t="shared" si="47"/>
        <v>-1020.8399999999965</v>
      </c>
      <c r="CI17" s="27">
        <f t="shared" si="47"/>
        <v>-3258.7233333333324</v>
      </c>
      <c r="CJ17" s="27">
        <f t="shared" si="47"/>
        <v>-4532.8166666666657</v>
      </c>
      <c r="CK17" s="27">
        <f t="shared" si="47"/>
        <v>11684.929999999989</v>
      </c>
      <c r="CL17" s="27">
        <f t="shared" si="47"/>
        <v>11599.576363636354</v>
      </c>
      <c r="CM17" s="27">
        <f t="shared" si="47"/>
        <v>10191.159999999989</v>
      </c>
      <c r="CN17" s="27">
        <f t="shared" si="47"/>
        <v>8292.9833333333318</v>
      </c>
      <c r="CO17" s="27">
        <f t="shared" si="47"/>
        <v>6203.359999999986</v>
      </c>
      <c r="CP17" s="27">
        <f t="shared" si="47"/>
        <v>4735.1799999999912</v>
      </c>
      <c r="CQ17" s="27">
        <f t="shared" si="47"/>
        <v>5633.7499999999891</v>
      </c>
      <c r="CR17" s="27">
        <f t="shared" si="47"/>
        <v>3507.9899999999975</v>
      </c>
      <c r="CS17" s="27">
        <f t="shared" si="47"/>
        <v>750.90000000000146</v>
      </c>
      <c r="CT17" s="27">
        <f t="shared" si="47"/>
        <v>1411.2400000000021</v>
      </c>
      <c r="CU17" s="27">
        <f t="shared" si="47"/>
        <v>-723.47000000000116</v>
      </c>
      <c r="CV17" s="27">
        <f t="shared" si="47"/>
        <v>-2156.2199999999975</v>
      </c>
      <c r="CW17" s="27">
        <f t="shared" si="47"/>
        <v>9155.6400000000103</v>
      </c>
      <c r="CX17" s="27">
        <f t="shared" si="47"/>
        <v>10807.483939393935</v>
      </c>
      <c r="CY17" s="27">
        <f t="shared" si="47"/>
        <v>9791.9933333333211</v>
      </c>
      <c r="CZ17" s="27">
        <f t="shared" si="47"/>
        <v>9580.8800000000047</v>
      </c>
      <c r="DA17" s="27">
        <f t="shared" si="47"/>
        <v>7095.1266666666634</v>
      </c>
      <c r="DB17" s="27">
        <f t="shared" si="47"/>
        <v>5815.6233333333275</v>
      </c>
      <c r="DC17" s="27">
        <f t="shared" si="47"/>
        <v>6407.7599999999984</v>
      </c>
      <c r="DD17" s="27">
        <f t="shared" si="47"/>
        <v>4384.9066666666658</v>
      </c>
      <c r="DE17" s="27">
        <f t="shared" si="47"/>
        <v>3660.0233333333254</v>
      </c>
      <c r="DF17" s="27">
        <f t="shared" si="47"/>
        <v>2602.6199999999953</v>
      </c>
      <c r="DG17" s="27">
        <f t="shared" si="47"/>
        <v>-1339.2033333333302</v>
      </c>
      <c r="DH17" s="27">
        <f t="shared" si="47"/>
        <v>-3836.1066666666679</v>
      </c>
      <c r="DI17" s="27">
        <f t="shared" si="47"/>
        <v>17322.449696969721</v>
      </c>
      <c r="DJ17" s="27">
        <f t="shared" si="47"/>
        <v>12404.956666666694</v>
      </c>
      <c r="DK17" s="27">
        <f t="shared" si="47"/>
        <v>2144.44333333332</v>
      </c>
      <c r="DL17" s="27">
        <f t="shared" si="47"/>
        <v>125.85333333332892</v>
      </c>
      <c r="DM17" s="27">
        <f t="shared" si="47"/>
        <v>5340.4066666666804</v>
      </c>
      <c r="DN17" s="27">
        <f t="shared" si="47"/>
        <v>6002.229999999985</v>
      </c>
      <c r="DO17" s="27">
        <f t="shared" si="47"/>
        <v>3429.9533333333275</v>
      </c>
      <c r="DP17" s="27">
        <f t="shared" si="47"/>
        <v>2939.1866666666738</v>
      </c>
      <c r="DQ17" s="27">
        <f t="shared" si="47"/>
        <v>2303.2100000000132</v>
      </c>
      <c r="DR17" s="27">
        <f t="shared" si="47"/>
        <v>4287.1933333333427</v>
      </c>
      <c r="DS17" s="27">
        <f t="shared" si="47"/>
        <v>1576.6766666666713</v>
      </c>
      <c r="DT17" s="27">
        <f t="shared" ref="DT17:EE17" si="48">+DT15+DT7</f>
        <v>16823.390909090929</v>
      </c>
      <c r="DU17" s="27">
        <f t="shared" si="48"/>
        <v>16149.454242424239</v>
      </c>
      <c r="DV17" s="27">
        <f t="shared" si="48"/>
        <v>12160.246666666651</v>
      </c>
      <c r="DW17" s="27">
        <f t="shared" si="48"/>
        <v>9842.5033333333322</v>
      </c>
      <c r="DX17" s="27">
        <f t="shared" si="48"/>
        <v>7159.743333333332</v>
      </c>
      <c r="DY17" s="27">
        <f t="shared" si="48"/>
        <v>4728.9766666666574</v>
      </c>
      <c r="DZ17" s="27">
        <f t="shared" si="48"/>
        <v>3641.1800000000112</v>
      </c>
      <c r="EA17" s="27">
        <f t="shared" si="48"/>
        <v>176.79333333332761</v>
      </c>
      <c r="EB17" s="27">
        <f t="shared" si="48"/>
        <v>141.16666666666424</v>
      </c>
      <c r="EC17" s="27">
        <f t="shared" si="48"/>
        <v>-559.32999999999811</v>
      </c>
      <c r="ED17" s="27">
        <f t="shared" si="48"/>
        <v>-1658.1766666666699</v>
      </c>
      <c r="EE17" s="27">
        <f t="shared" si="48"/>
        <v>-2145.213333333335</v>
      </c>
    </row>
    <row r="18" spans="1:135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7"/>
      <c r="BG18" s="17"/>
      <c r="BH18" s="17"/>
      <c r="BI18" s="17"/>
      <c r="BJ18" s="15"/>
      <c r="BK18" s="17"/>
      <c r="BL18" s="17"/>
      <c r="BM18" s="17"/>
      <c r="BN18" s="17"/>
      <c r="BO18" s="17"/>
      <c r="BP18" s="14"/>
      <c r="BQ18" s="16"/>
      <c r="BR18" s="1"/>
      <c r="BS18" s="1"/>
      <c r="BU18" s="37"/>
    </row>
    <row r="19" spans="1:135" x14ac:dyDescent="0.25">
      <c r="A19" s="75" t="s">
        <v>47</v>
      </c>
      <c r="D19" s="1" t="s">
        <v>48</v>
      </c>
      <c r="E19" s="26">
        <v>175631.62</v>
      </c>
      <c r="F19" s="26">
        <v>174530.03</v>
      </c>
      <c r="G19" s="26">
        <v>181018.63</v>
      </c>
      <c r="H19" s="26">
        <v>186250.34</v>
      </c>
      <c r="I19" s="26">
        <v>191509.31</v>
      </c>
      <c r="J19" s="26">
        <v>196077.57</v>
      </c>
      <c r="K19" s="26">
        <v>202896.69</v>
      </c>
      <c r="L19" s="26">
        <v>209087.21</v>
      </c>
      <c r="M19" s="26">
        <v>216854.96</v>
      </c>
      <c r="N19" s="26">
        <v>206840.68</v>
      </c>
      <c r="O19" s="26">
        <v>204640.3</v>
      </c>
      <c r="P19" s="26">
        <v>206498.38</v>
      </c>
      <c r="Q19" s="93">
        <v>206602.87</v>
      </c>
      <c r="R19" s="50">
        <v>205718.89</v>
      </c>
      <c r="S19" s="50">
        <v>208325.66</v>
      </c>
      <c r="T19" s="50">
        <v>212593.24</v>
      </c>
      <c r="U19" s="50">
        <v>224564.19</v>
      </c>
      <c r="V19" s="50">
        <v>221693.38</v>
      </c>
      <c r="W19" s="50">
        <v>228485.13</v>
      </c>
      <c r="X19" s="50">
        <v>247712.69</v>
      </c>
      <c r="Y19" s="50">
        <v>231128.26</v>
      </c>
      <c r="Z19" s="50">
        <v>226942.72</v>
      </c>
      <c r="AA19" s="50">
        <v>231145.60000000001</v>
      </c>
      <c r="AB19" s="50">
        <v>231734.62</v>
      </c>
      <c r="AC19" s="50">
        <v>230870.1</v>
      </c>
      <c r="AD19" s="50">
        <v>222921.39</v>
      </c>
      <c r="AE19" s="50">
        <v>225076.97</v>
      </c>
      <c r="AF19" s="50">
        <v>228167.57</v>
      </c>
      <c r="AG19" s="50">
        <v>227035.81</v>
      </c>
      <c r="AH19" s="50">
        <v>229268.95</v>
      </c>
      <c r="AI19" s="50">
        <v>234617.17</v>
      </c>
      <c r="AJ19" s="50">
        <v>240790.82</v>
      </c>
      <c r="AK19" s="50">
        <v>249066.92</v>
      </c>
      <c r="AL19" s="50">
        <v>243120.21</v>
      </c>
      <c r="AM19" s="50">
        <v>241131.46</v>
      </c>
      <c r="AN19" s="50">
        <v>242033.65</v>
      </c>
      <c r="AO19" s="50">
        <v>244725.1</v>
      </c>
      <c r="AP19" s="50">
        <v>226625.55</v>
      </c>
      <c r="AQ19" s="50">
        <v>226608.28</v>
      </c>
      <c r="AR19" s="50">
        <v>229510.33</v>
      </c>
      <c r="AS19" s="50">
        <v>232511.29</v>
      </c>
      <c r="AT19" s="50">
        <v>234286.13</v>
      </c>
      <c r="AU19" s="50">
        <v>236172.23</v>
      </c>
      <c r="AV19" s="50">
        <v>242756.93</v>
      </c>
      <c r="AW19" s="50">
        <v>247702.06</v>
      </c>
      <c r="AX19" s="50">
        <v>235877.87</v>
      </c>
      <c r="AY19" s="50">
        <v>234462.44</v>
      </c>
      <c r="AZ19" s="50">
        <v>232551.07</v>
      </c>
      <c r="BA19" s="50">
        <v>227223.46</v>
      </c>
      <c r="BB19" s="50">
        <v>222291.28</v>
      </c>
      <c r="BC19" s="50">
        <v>222964.41</v>
      </c>
      <c r="BD19" s="50">
        <v>220065.09</v>
      </c>
      <c r="BE19" s="50">
        <v>219445.58</v>
      </c>
      <c r="BF19" s="50">
        <v>221905.46</v>
      </c>
      <c r="BG19" s="50">
        <v>221376.32</v>
      </c>
      <c r="BH19" s="50">
        <v>226540.87</v>
      </c>
      <c r="BI19" s="50">
        <v>228537.46</v>
      </c>
      <c r="BJ19" s="50">
        <v>218238.76</v>
      </c>
      <c r="BK19" s="50">
        <v>217631.22</v>
      </c>
      <c r="BL19" s="50">
        <v>215799.79</v>
      </c>
      <c r="BM19" s="50">
        <v>213717.5</v>
      </c>
      <c r="BN19" s="50">
        <v>200455.16</v>
      </c>
      <c r="BO19" s="50">
        <v>199174.08</v>
      </c>
      <c r="BP19" s="18">
        <v>198871.91</v>
      </c>
      <c r="BQ19" s="18">
        <v>201633.03</v>
      </c>
      <c r="BR19" s="26">
        <v>198427.36</v>
      </c>
      <c r="BS19" s="9">
        <v>201764.75</v>
      </c>
      <c r="BT19" s="9">
        <v>204090.18</v>
      </c>
      <c r="BU19" s="11">
        <v>204811.16</v>
      </c>
      <c r="BV19" s="9">
        <v>207426.69</v>
      </c>
      <c r="BW19" s="9">
        <v>208671.66</v>
      </c>
      <c r="BX19" s="9">
        <v>205831.41</v>
      </c>
      <c r="BY19" s="9">
        <v>196400.27</v>
      </c>
      <c r="BZ19" s="9">
        <v>183372.72</v>
      </c>
      <c r="CA19" s="9">
        <v>187318.57</v>
      </c>
      <c r="CB19" s="9">
        <v>192689.72</v>
      </c>
      <c r="CC19" s="9">
        <v>196488.25</v>
      </c>
      <c r="CD19" s="9">
        <v>199939.96</v>
      </c>
      <c r="CE19" s="9">
        <v>206509.62</v>
      </c>
      <c r="CF19" s="9">
        <v>208026.37</v>
      </c>
      <c r="CG19" s="9">
        <v>226589.55</v>
      </c>
      <c r="CH19" s="9">
        <v>236966</v>
      </c>
      <c r="CI19" s="9">
        <v>216536.92</v>
      </c>
      <c r="CJ19" s="9">
        <v>208852.88</v>
      </c>
      <c r="CK19" s="9">
        <v>208084.34</v>
      </c>
      <c r="CL19" s="9">
        <v>190910.57</v>
      </c>
      <c r="CM19" s="9">
        <v>195109.54</v>
      </c>
      <c r="CN19" s="9">
        <v>196661.4</v>
      </c>
      <c r="CO19" s="9">
        <v>198062.31</v>
      </c>
      <c r="CP19" s="9">
        <v>201360.67</v>
      </c>
      <c r="CQ19" s="9">
        <v>205295.41</v>
      </c>
      <c r="CR19" s="9">
        <v>222436.86</v>
      </c>
      <c r="CS19" s="9">
        <v>223214.74</v>
      </c>
      <c r="CT19" s="9">
        <v>225441.26</v>
      </c>
      <c r="CU19" s="9">
        <v>200070.68</v>
      </c>
      <c r="CV19" s="9">
        <v>190292.37</v>
      </c>
      <c r="CW19" s="25">
        <v>183451.03</v>
      </c>
      <c r="CX19" s="25">
        <v>165527.87</v>
      </c>
      <c r="CY19" s="25">
        <v>169705.41</v>
      </c>
      <c r="CZ19" s="25">
        <v>171598.07</v>
      </c>
      <c r="DA19" s="25">
        <v>171675.05</v>
      </c>
      <c r="DB19" s="10">
        <v>174179.87</v>
      </c>
      <c r="DC19" s="10">
        <v>196037.68</v>
      </c>
      <c r="DD19" s="10">
        <v>201222.8</v>
      </c>
      <c r="DE19" s="10">
        <v>199351.59</v>
      </c>
      <c r="DF19" s="10">
        <v>182578.38</v>
      </c>
      <c r="DG19" s="10">
        <v>172974.49</v>
      </c>
      <c r="DH19" s="10">
        <v>168857.21</v>
      </c>
      <c r="DI19" s="10">
        <v>138236.38</v>
      </c>
      <c r="DJ19" s="10">
        <v>139914.1</v>
      </c>
      <c r="DK19" s="10">
        <v>136897.97</v>
      </c>
      <c r="DL19" s="10">
        <v>133154.15</v>
      </c>
      <c r="DM19" s="10">
        <v>141056.29</v>
      </c>
      <c r="DN19" s="10">
        <v>146472.87</v>
      </c>
      <c r="DO19" s="10">
        <v>171294.25</v>
      </c>
      <c r="DP19" s="10">
        <v>171543.28</v>
      </c>
      <c r="DQ19" s="10">
        <v>155924.75</v>
      </c>
      <c r="DR19" s="10">
        <v>154498.1</v>
      </c>
      <c r="DS19" s="10">
        <v>152371.14000000001</v>
      </c>
      <c r="DT19" s="10">
        <v>120388.32</v>
      </c>
      <c r="DU19" s="10">
        <v>99920.19</v>
      </c>
      <c r="DV19" s="10">
        <v>101238.88</v>
      </c>
      <c r="DW19" s="10">
        <v>105639.09</v>
      </c>
      <c r="DX19" s="10">
        <v>108992.54</v>
      </c>
      <c r="DY19" s="10">
        <v>112437.44</v>
      </c>
      <c r="DZ19" s="10">
        <v>113633.69</v>
      </c>
      <c r="EA19" s="10">
        <v>115805.19</v>
      </c>
      <c r="EB19" s="10">
        <v>157672.74</v>
      </c>
      <c r="EC19" s="10">
        <v>164947.21</v>
      </c>
      <c r="ED19" s="10">
        <v>154575.5</v>
      </c>
      <c r="EE19" s="10">
        <v>151253.48000000001</v>
      </c>
    </row>
    <row r="20" spans="1:13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50">
        <v>-49286.32</v>
      </c>
      <c r="BE20" s="50">
        <v>-49286.32</v>
      </c>
      <c r="BF20" s="50">
        <v>-49286.32</v>
      </c>
      <c r="BG20" s="50">
        <v>-49286.32</v>
      </c>
      <c r="BH20" s="50">
        <v>-49286.32</v>
      </c>
      <c r="BI20" s="50">
        <v>-49286.32</v>
      </c>
      <c r="BJ20" s="50">
        <v>-49286.32</v>
      </c>
      <c r="BK20" s="50">
        <v>-49286.32</v>
      </c>
      <c r="BL20" s="50">
        <v>-49286.32</v>
      </c>
      <c r="BM20" s="50">
        <v>-49286.32</v>
      </c>
      <c r="BN20" s="50">
        <v>-49286.32</v>
      </c>
      <c r="BO20" s="50">
        <v>-49286.32</v>
      </c>
      <c r="BP20" s="18">
        <v>-49286.32</v>
      </c>
      <c r="BQ20" s="18">
        <v>-49286.32</v>
      </c>
      <c r="BR20" s="26">
        <v>-49286.32</v>
      </c>
      <c r="BS20" s="9">
        <v>-49286.32</v>
      </c>
      <c r="BT20" s="9">
        <v>-52772.84</v>
      </c>
      <c r="BU20" s="11">
        <v>-52772.84</v>
      </c>
      <c r="BV20" s="9">
        <v>-52772.84</v>
      </c>
      <c r="BW20" s="9">
        <v>-52772.84</v>
      </c>
      <c r="BX20" s="9">
        <v>-52772.84</v>
      </c>
      <c r="BY20" s="9">
        <v>-49435.3</v>
      </c>
      <c r="BZ20" s="9">
        <v>-49435.3</v>
      </c>
      <c r="CA20" s="9">
        <v>-49435.3</v>
      </c>
      <c r="CB20" s="9">
        <v>-49435.3</v>
      </c>
      <c r="CC20" s="9">
        <v>-49435.3</v>
      </c>
      <c r="CD20" s="9">
        <v>-49435.3</v>
      </c>
      <c r="CE20" s="9">
        <v>-49435.3</v>
      </c>
      <c r="CF20" s="9">
        <v>-49435.3</v>
      </c>
      <c r="CG20" s="9">
        <v>-49435.3</v>
      </c>
      <c r="CH20" s="9">
        <v>-49435.3</v>
      </c>
      <c r="CI20" s="9">
        <v>-49435.3</v>
      </c>
      <c r="CJ20" s="9">
        <v>-49435.3</v>
      </c>
      <c r="CK20" s="9">
        <v>-49532.62</v>
      </c>
      <c r="CL20" s="9">
        <v>-49532.62</v>
      </c>
      <c r="CM20" s="9">
        <v>-49532.62</v>
      </c>
      <c r="CN20" s="9">
        <v>-49532.62</v>
      </c>
      <c r="CO20" s="9">
        <v>-49532.62</v>
      </c>
      <c r="CP20" s="9">
        <v>-49532.62</v>
      </c>
      <c r="CQ20" s="9">
        <v>-49532.62</v>
      </c>
      <c r="CR20" s="9">
        <v>-49532.62</v>
      </c>
      <c r="CS20" s="9">
        <v>-49532.62</v>
      </c>
      <c r="CT20" s="9">
        <v>-49532.62</v>
      </c>
      <c r="CU20" s="9">
        <v>-49532.62</v>
      </c>
      <c r="CV20" s="9">
        <v>-49532.62</v>
      </c>
      <c r="CW20" s="26">
        <v>-50647.44</v>
      </c>
      <c r="CX20" s="26">
        <v>-48110.63</v>
      </c>
      <c r="CY20" s="26">
        <v>-47041.58</v>
      </c>
      <c r="CZ20" s="26">
        <v>-47041.58</v>
      </c>
      <c r="DA20" s="26">
        <v>-47041.58</v>
      </c>
      <c r="DB20" s="10">
        <v>-47041.58</v>
      </c>
      <c r="DC20" s="10">
        <v>-47041.58</v>
      </c>
      <c r="DD20" s="10">
        <v>-47041.58</v>
      </c>
      <c r="DE20" s="10">
        <v>-47041.58</v>
      </c>
      <c r="DF20" s="10">
        <v>-47041.58</v>
      </c>
      <c r="DG20" s="10">
        <v>-47041.58</v>
      </c>
      <c r="DH20" s="10">
        <v>-47041.58</v>
      </c>
      <c r="DI20" s="10">
        <v>-46210.35</v>
      </c>
      <c r="DJ20" s="10">
        <v>-46210.35</v>
      </c>
      <c r="DK20" s="10">
        <v>-46210.35</v>
      </c>
      <c r="DL20" s="10">
        <v>-46210.35</v>
      </c>
      <c r="DM20" s="10">
        <v>-46210.35</v>
      </c>
      <c r="DN20" s="10">
        <v>-46210.35</v>
      </c>
      <c r="DO20" s="10">
        <v>-46210.35</v>
      </c>
      <c r="DP20" s="10">
        <v>-46210.35</v>
      </c>
      <c r="DQ20" s="10">
        <v>-46210.35</v>
      </c>
      <c r="DR20" s="10">
        <v>-46210.35</v>
      </c>
      <c r="DS20" s="10">
        <v>-46210.35</v>
      </c>
      <c r="DT20" s="10">
        <v>-47919.53</v>
      </c>
      <c r="DU20" s="10">
        <v>-47919.53</v>
      </c>
      <c r="DV20" s="10">
        <v>-47919.53</v>
      </c>
      <c r="DW20" s="10">
        <v>-47919.53</v>
      </c>
      <c r="DX20" s="10">
        <v>-47919.53</v>
      </c>
      <c r="DY20" s="10">
        <v>-47919.53</v>
      </c>
      <c r="DZ20" s="10">
        <v>-47919.53</v>
      </c>
      <c r="EA20" s="10">
        <v>-47919.53</v>
      </c>
      <c r="EB20" s="10">
        <v>-47919.53</v>
      </c>
      <c r="EC20" s="10">
        <v>-47919.53</v>
      </c>
      <c r="ED20" s="10">
        <v>-47919.53</v>
      </c>
      <c r="EE20" s="10">
        <v>-47919.53</v>
      </c>
    </row>
    <row r="21" spans="1:135" ht="15.75" customHeight="1" x14ac:dyDescent="0.25">
      <c r="A21" s="1" t="s">
        <v>45</v>
      </c>
      <c r="E21" s="28">
        <f t="shared" ref="E21:F21" si="49">SUM(E19:E20)</f>
        <v>126345.29999999999</v>
      </c>
      <c r="F21" s="28">
        <f t="shared" si="49"/>
        <v>125243.70999999999</v>
      </c>
      <c r="G21" s="28">
        <f t="shared" ref="G21:H21" si="50">SUM(G19:G20)</f>
        <v>131732.31</v>
      </c>
      <c r="H21" s="28">
        <f t="shared" si="50"/>
        <v>136964.01999999999</v>
      </c>
      <c r="I21" s="28">
        <f t="shared" ref="I21:J21" si="51">SUM(I19:I20)</f>
        <v>142222.99</v>
      </c>
      <c r="J21" s="28">
        <f t="shared" si="51"/>
        <v>146791.25</v>
      </c>
      <c r="K21" s="28">
        <f t="shared" ref="K21:L21" si="52">SUM(K19:K20)</f>
        <v>153610.37</v>
      </c>
      <c r="L21" s="28">
        <f t="shared" si="52"/>
        <v>159800.88999999998</v>
      </c>
      <c r="M21" s="28">
        <f t="shared" ref="M21:N21" si="53">SUM(M19:M20)</f>
        <v>167568.63999999998</v>
      </c>
      <c r="N21" s="28">
        <f t="shared" si="53"/>
        <v>157554.35999999999</v>
      </c>
      <c r="O21" s="28">
        <f t="shared" ref="O21:P21" si="54">SUM(O19:O20)</f>
        <v>155353.97999999998</v>
      </c>
      <c r="P21" s="28">
        <f t="shared" si="54"/>
        <v>157212.06</v>
      </c>
      <c r="Q21" s="95">
        <f t="shared" ref="Q21:R21" si="55">SUM(Q19:Q20)</f>
        <v>157316.54999999999</v>
      </c>
      <c r="R21" s="82">
        <f t="shared" si="55"/>
        <v>156432.57</v>
      </c>
      <c r="S21" s="82">
        <f t="shared" ref="S21:CD21" si="56">SUM(S19:S20)</f>
        <v>159039.34</v>
      </c>
      <c r="T21" s="82">
        <f t="shared" si="56"/>
        <v>163306.91999999998</v>
      </c>
      <c r="U21" s="82">
        <f t="shared" si="56"/>
        <v>175277.87</v>
      </c>
      <c r="V21" s="82">
        <f t="shared" si="56"/>
        <v>172407.06</v>
      </c>
      <c r="W21" s="82">
        <f t="shared" si="56"/>
        <v>179198.81</v>
      </c>
      <c r="X21" s="82">
        <f t="shared" si="56"/>
        <v>198426.37</v>
      </c>
      <c r="Y21" s="82">
        <f t="shared" si="56"/>
        <v>181841.94</v>
      </c>
      <c r="Z21" s="82">
        <f t="shared" si="56"/>
        <v>177656.4</v>
      </c>
      <c r="AA21" s="82">
        <f t="shared" si="56"/>
        <v>181859.28</v>
      </c>
      <c r="AB21" s="82">
        <f t="shared" si="56"/>
        <v>182448.3</v>
      </c>
      <c r="AC21" s="82">
        <f t="shared" si="56"/>
        <v>181583.78</v>
      </c>
      <c r="AD21" s="82">
        <f t="shared" si="56"/>
        <v>173635.07</v>
      </c>
      <c r="AE21" s="82">
        <f t="shared" si="56"/>
        <v>175790.65</v>
      </c>
      <c r="AF21" s="82">
        <f t="shared" si="56"/>
        <v>178881.25</v>
      </c>
      <c r="AG21" s="82">
        <f t="shared" si="56"/>
        <v>177749.49</v>
      </c>
      <c r="AH21" s="28">
        <f t="shared" si="56"/>
        <v>179982.63</v>
      </c>
      <c r="AI21" s="82">
        <f t="shared" si="56"/>
        <v>185330.85</v>
      </c>
      <c r="AJ21" s="82">
        <f t="shared" si="56"/>
        <v>191504.5</v>
      </c>
      <c r="AK21" s="82">
        <f t="shared" si="56"/>
        <v>199780.6</v>
      </c>
      <c r="AL21" s="28">
        <f t="shared" si="56"/>
        <v>193833.88999999998</v>
      </c>
      <c r="AM21" s="28">
        <f t="shared" si="56"/>
        <v>191845.13999999998</v>
      </c>
      <c r="AN21" s="28">
        <f t="shared" si="56"/>
        <v>192747.33</v>
      </c>
      <c r="AO21" s="28">
        <f t="shared" si="56"/>
        <v>195438.78</v>
      </c>
      <c r="AP21" s="28">
        <f t="shared" si="56"/>
        <v>177339.22999999998</v>
      </c>
      <c r="AQ21" s="28">
        <f t="shared" si="56"/>
        <v>177321.96</v>
      </c>
      <c r="AR21" s="28">
        <f t="shared" si="56"/>
        <v>180224.00999999998</v>
      </c>
      <c r="AS21" s="28">
        <f t="shared" si="56"/>
        <v>183224.97</v>
      </c>
      <c r="AT21" s="28">
        <f t="shared" si="56"/>
        <v>184999.81</v>
      </c>
      <c r="AU21" s="28">
        <f t="shared" si="56"/>
        <v>186885.91</v>
      </c>
      <c r="AV21" s="28">
        <f t="shared" si="56"/>
        <v>193470.61</v>
      </c>
      <c r="AW21" s="28">
        <f t="shared" si="56"/>
        <v>198415.74</v>
      </c>
      <c r="AX21" s="28">
        <f t="shared" si="56"/>
        <v>186591.55</v>
      </c>
      <c r="AY21" s="28">
        <f t="shared" si="56"/>
        <v>185176.12</v>
      </c>
      <c r="AZ21" s="28">
        <f t="shared" si="56"/>
        <v>183264.75</v>
      </c>
      <c r="BA21" s="28">
        <f t="shared" si="56"/>
        <v>177937.13999999998</v>
      </c>
      <c r="BB21" s="28">
        <f t="shared" si="56"/>
        <v>173004.96</v>
      </c>
      <c r="BC21" s="28">
        <f t="shared" si="56"/>
        <v>173678.09</v>
      </c>
      <c r="BD21" s="28">
        <f t="shared" si="56"/>
        <v>170778.77</v>
      </c>
      <c r="BE21" s="28">
        <f t="shared" si="56"/>
        <v>170159.25999999998</v>
      </c>
      <c r="BF21" s="28">
        <f t="shared" si="56"/>
        <v>172619.13999999998</v>
      </c>
      <c r="BG21" s="28">
        <f t="shared" si="56"/>
        <v>172090</v>
      </c>
      <c r="BH21" s="28">
        <f t="shared" si="56"/>
        <v>177254.55</v>
      </c>
      <c r="BI21" s="28">
        <f t="shared" si="56"/>
        <v>179251.13999999998</v>
      </c>
      <c r="BJ21" s="28">
        <f t="shared" si="56"/>
        <v>168952.44</v>
      </c>
      <c r="BK21" s="28">
        <f t="shared" si="56"/>
        <v>168344.9</v>
      </c>
      <c r="BL21" s="28">
        <f t="shared" si="56"/>
        <v>166513.47</v>
      </c>
      <c r="BM21" s="28">
        <f t="shared" si="56"/>
        <v>164431.18</v>
      </c>
      <c r="BN21" s="28">
        <f t="shared" si="56"/>
        <v>151168.84</v>
      </c>
      <c r="BO21" s="28">
        <f t="shared" si="56"/>
        <v>149887.75999999998</v>
      </c>
      <c r="BP21" s="28">
        <f t="shared" si="56"/>
        <v>149585.59</v>
      </c>
      <c r="BQ21" s="28">
        <f t="shared" si="56"/>
        <v>152346.71</v>
      </c>
      <c r="BR21" s="57">
        <f t="shared" si="56"/>
        <v>149141.03999999998</v>
      </c>
      <c r="BS21" s="28">
        <f t="shared" si="56"/>
        <v>152478.43</v>
      </c>
      <c r="BT21" s="28">
        <f t="shared" si="56"/>
        <v>151317.34</v>
      </c>
      <c r="BU21" s="58">
        <f t="shared" si="56"/>
        <v>152038.32</v>
      </c>
      <c r="BV21" s="28">
        <f t="shared" si="56"/>
        <v>154653.85</v>
      </c>
      <c r="BW21" s="28">
        <f t="shared" si="56"/>
        <v>155898.82</v>
      </c>
      <c r="BX21" s="28">
        <f t="shared" si="56"/>
        <v>153058.57</v>
      </c>
      <c r="BY21" s="28">
        <f t="shared" si="56"/>
        <v>146964.96999999997</v>
      </c>
      <c r="BZ21" s="28">
        <f t="shared" si="56"/>
        <v>133937.41999999998</v>
      </c>
      <c r="CA21" s="28">
        <f t="shared" si="56"/>
        <v>137883.27000000002</v>
      </c>
      <c r="CB21" s="28">
        <f t="shared" si="56"/>
        <v>143254.41999999998</v>
      </c>
      <c r="CC21" s="28">
        <f t="shared" si="56"/>
        <v>147052.95000000001</v>
      </c>
      <c r="CD21" s="28">
        <f t="shared" si="56"/>
        <v>150504.65999999997</v>
      </c>
      <c r="CE21" s="28">
        <f t="shared" ref="CE21:EE21" si="57">SUM(CE19:CE20)</f>
        <v>157074.32</v>
      </c>
      <c r="CF21" s="28">
        <f t="shared" si="57"/>
        <v>158591.07</v>
      </c>
      <c r="CG21" s="28">
        <f t="shared" si="57"/>
        <v>177154.25</v>
      </c>
      <c r="CH21" s="28">
        <f t="shared" si="57"/>
        <v>187530.7</v>
      </c>
      <c r="CI21" s="28">
        <f t="shared" si="57"/>
        <v>167101.62</v>
      </c>
      <c r="CJ21" s="28">
        <f t="shared" si="57"/>
        <v>159417.58000000002</v>
      </c>
      <c r="CK21" s="28">
        <f t="shared" si="57"/>
        <v>158551.72</v>
      </c>
      <c r="CL21" s="28">
        <f t="shared" si="57"/>
        <v>141377.95000000001</v>
      </c>
      <c r="CM21" s="28">
        <f t="shared" si="57"/>
        <v>145576.92000000001</v>
      </c>
      <c r="CN21" s="28">
        <f t="shared" si="57"/>
        <v>147128.78</v>
      </c>
      <c r="CO21" s="28">
        <f t="shared" si="57"/>
        <v>148529.69</v>
      </c>
      <c r="CP21" s="28">
        <f t="shared" si="57"/>
        <v>151828.05000000002</v>
      </c>
      <c r="CQ21" s="28">
        <f t="shared" si="57"/>
        <v>155762.79</v>
      </c>
      <c r="CR21" s="28">
        <f t="shared" si="57"/>
        <v>172904.24</v>
      </c>
      <c r="CS21" s="28">
        <f t="shared" si="57"/>
        <v>173682.12</v>
      </c>
      <c r="CT21" s="28">
        <f t="shared" si="57"/>
        <v>175908.64</v>
      </c>
      <c r="CU21" s="28">
        <f t="shared" si="57"/>
        <v>150538.06</v>
      </c>
      <c r="CV21" s="28">
        <f t="shared" si="57"/>
        <v>140759.75</v>
      </c>
      <c r="CW21" s="28">
        <f t="shared" si="57"/>
        <v>132803.59</v>
      </c>
      <c r="CX21" s="28">
        <f t="shared" si="57"/>
        <v>117417.23999999999</v>
      </c>
      <c r="CY21" s="28">
        <f t="shared" si="57"/>
        <v>122663.83</v>
      </c>
      <c r="CZ21" s="28">
        <f t="shared" si="57"/>
        <v>124556.49</v>
      </c>
      <c r="DA21" s="28">
        <f t="shared" si="57"/>
        <v>124633.46999999999</v>
      </c>
      <c r="DB21" s="28">
        <f t="shared" si="57"/>
        <v>127138.29</v>
      </c>
      <c r="DC21" s="28">
        <f t="shared" si="57"/>
        <v>148996.09999999998</v>
      </c>
      <c r="DD21" s="28">
        <f t="shared" si="57"/>
        <v>154181.21999999997</v>
      </c>
      <c r="DE21" s="28">
        <f t="shared" si="57"/>
        <v>152310.01</v>
      </c>
      <c r="DF21" s="28">
        <f t="shared" si="57"/>
        <v>135536.79999999999</v>
      </c>
      <c r="DG21" s="28">
        <f t="shared" si="57"/>
        <v>125932.90999999999</v>
      </c>
      <c r="DH21" s="28">
        <f t="shared" si="57"/>
        <v>121815.62999999999</v>
      </c>
      <c r="DI21" s="28">
        <f t="shared" si="57"/>
        <v>92026.03</v>
      </c>
      <c r="DJ21" s="28">
        <f t="shared" si="57"/>
        <v>93703.75</v>
      </c>
      <c r="DK21" s="28">
        <f t="shared" si="57"/>
        <v>90687.62</v>
      </c>
      <c r="DL21" s="28">
        <f t="shared" si="57"/>
        <v>86943.799999999988</v>
      </c>
      <c r="DM21" s="28">
        <f t="shared" si="57"/>
        <v>94845.94</v>
      </c>
      <c r="DN21" s="28">
        <f t="shared" si="57"/>
        <v>100262.51999999999</v>
      </c>
      <c r="DO21" s="28">
        <f t="shared" si="57"/>
        <v>125083.9</v>
      </c>
      <c r="DP21" s="28">
        <f t="shared" si="57"/>
        <v>125332.93</v>
      </c>
      <c r="DQ21" s="28">
        <f t="shared" si="57"/>
        <v>109714.4</v>
      </c>
      <c r="DR21" s="28">
        <f t="shared" si="57"/>
        <v>108287.75</v>
      </c>
      <c r="DS21" s="28">
        <f t="shared" si="57"/>
        <v>106160.79000000001</v>
      </c>
      <c r="DT21" s="28">
        <f t="shared" si="57"/>
        <v>72468.790000000008</v>
      </c>
      <c r="DU21" s="28">
        <f t="shared" si="57"/>
        <v>52000.66</v>
      </c>
      <c r="DV21" s="28">
        <f t="shared" si="57"/>
        <v>53319.350000000006</v>
      </c>
      <c r="DW21" s="28">
        <f t="shared" si="57"/>
        <v>57719.56</v>
      </c>
      <c r="DX21" s="28">
        <f t="shared" si="57"/>
        <v>61073.009999999995</v>
      </c>
      <c r="DY21" s="28">
        <f t="shared" si="57"/>
        <v>64517.91</v>
      </c>
      <c r="DZ21" s="28">
        <f t="shared" si="57"/>
        <v>65714.16</v>
      </c>
      <c r="EA21" s="28">
        <f t="shared" si="57"/>
        <v>67885.66</v>
      </c>
      <c r="EB21" s="28">
        <f t="shared" si="57"/>
        <v>109753.20999999999</v>
      </c>
      <c r="EC21" s="28">
        <f t="shared" si="57"/>
        <v>117027.68</v>
      </c>
      <c r="ED21" s="28">
        <f t="shared" si="57"/>
        <v>106655.97</v>
      </c>
      <c r="EE21" s="28">
        <f t="shared" si="57"/>
        <v>103333.95000000001</v>
      </c>
    </row>
    <row r="22" spans="1:135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7"/>
      <c r="BH22" s="17"/>
      <c r="BI22" s="17"/>
      <c r="BJ22" s="15"/>
      <c r="BK22" s="17"/>
      <c r="BL22" s="17"/>
      <c r="BM22" s="17"/>
      <c r="BN22" s="17"/>
      <c r="BO22" s="17"/>
      <c r="BP22" s="14"/>
      <c r="BQ22" s="16"/>
      <c r="BR22" s="1"/>
      <c r="BS22" s="1"/>
    </row>
    <row r="23" spans="1:135" ht="15.75" customHeight="1" x14ac:dyDescent="0.25">
      <c r="A23" s="75" t="s">
        <v>51</v>
      </c>
      <c r="D23" s="1" t="s">
        <v>52</v>
      </c>
      <c r="E23" s="25">
        <v>14827.67</v>
      </c>
      <c r="F23" s="25">
        <v>14427.67</v>
      </c>
      <c r="G23" s="25">
        <v>14527.67</v>
      </c>
      <c r="H23" s="25">
        <v>14527.67</v>
      </c>
      <c r="I23" s="25">
        <v>14527.67</v>
      </c>
      <c r="J23" s="25">
        <v>14527.67</v>
      </c>
      <c r="K23" s="25">
        <v>14527.67</v>
      </c>
      <c r="L23" s="25">
        <v>14527.67</v>
      </c>
      <c r="M23" s="25">
        <v>15514.07</v>
      </c>
      <c r="N23" s="25">
        <v>4197.7700000000004</v>
      </c>
      <c r="O23" s="25">
        <v>0</v>
      </c>
      <c r="P23" s="25">
        <v>0</v>
      </c>
      <c r="Q23" s="92">
        <v>12659.6</v>
      </c>
      <c r="R23" s="45">
        <v>12039</v>
      </c>
      <c r="S23" s="45">
        <v>7392.3</v>
      </c>
      <c r="T23" s="45">
        <v>7392.3</v>
      </c>
      <c r="U23" s="45">
        <v>16669.060000000001</v>
      </c>
      <c r="V23" s="45">
        <v>16669.060000000001</v>
      </c>
      <c r="W23" s="45">
        <v>17197.54</v>
      </c>
      <c r="X23" s="45">
        <v>29077.48</v>
      </c>
      <c r="Y23" s="45">
        <v>8091.58</v>
      </c>
      <c r="Z23" s="45">
        <v>-2403.9299999999998</v>
      </c>
      <c r="AA23" s="45">
        <v>-818.93</v>
      </c>
      <c r="AB23" s="45">
        <v>-818.93</v>
      </c>
      <c r="AC23" s="45">
        <v>17389.330000000002</v>
      </c>
      <c r="AD23" s="45">
        <v>17367.07</v>
      </c>
      <c r="AE23" s="45">
        <v>14080.98</v>
      </c>
      <c r="AF23" s="45">
        <v>14080.98</v>
      </c>
      <c r="AG23" s="45">
        <v>14080.98</v>
      </c>
      <c r="AH23" s="45">
        <v>14080.98</v>
      </c>
      <c r="AI23" s="45">
        <v>14080.98</v>
      </c>
      <c r="AJ23" s="45">
        <v>14080.98</v>
      </c>
      <c r="AK23" s="45">
        <v>15430.98</v>
      </c>
      <c r="AL23" s="45">
        <v>6570.2</v>
      </c>
      <c r="AM23" s="45">
        <v>-55.23</v>
      </c>
      <c r="AN23" s="45">
        <v>-55.23</v>
      </c>
      <c r="AO23" s="45">
        <v>16753.84</v>
      </c>
      <c r="AP23" s="45">
        <v>16758.93</v>
      </c>
      <c r="AQ23" s="45">
        <v>16916.72</v>
      </c>
      <c r="AR23" s="45">
        <v>16925.97</v>
      </c>
      <c r="AS23" s="45">
        <v>16925.97</v>
      </c>
      <c r="AT23" s="45">
        <v>16925.97</v>
      </c>
      <c r="AU23" s="45">
        <v>16925.97</v>
      </c>
      <c r="AV23" s="45">
        <v>16925.97</v>
      </c>
      <c r="AW23" s="45">
        <v>19332.150000000001</v>
      </c>
      <c r="AX23" s="45">
        <v>5827.48</v>
      </c>
      <c r="AY23" s="45">
        <v>-220.91</v>
      </c>
      <c r="AZ23" s="45">
        <v>-220.91</v>
      </c>
      <c r="BA23" s="45">
        <v>12075.39</v>
      </c>
      <c r="BB23" s="45">
        <v>12085.57</v>
      </c>
      <c r="BC23" s="45">
        <v>12186.24</v>
      </c>
      <c r="BD23" s="45">
        <v>12314.2</v>
      </c>
      <c r="BE23" s="45">
        <v>12314.2</v>
      </c>
      <c r="BF23" s="45">
        <v>12314.2</v>
      </c>
      <c r="BG23" s="45">
        <v>12314.2</v>
      </c>
      <c r="BH23" s="45">
        <v>12314.2</v>
      </c>
      <c r="BI23" s="45">
        <v>12680.2</v>
      </c>
      <c r="BJ23" s="45">
        <v>2052.88</v>
      </c>
      <c r="BK23" s="45">
        <v>0</v>
      </c>
      <c r="BL23" s="45">
        <v>0</v>
      </c>
      <c r="BM23" s="45">
        <v>9553.5400000000009</v>
      </c>
      <c r="BN23" s="45">
        <v>9872.83</v>
      </c>
      <c r="BO23" s="45">
        <v>9891.52</v>
      </c>
      <c r="BP23" s="19">
        <v>9914.73</v>
      </c>
      <c r="BQ23" s="19">
        <v>9914.73</v>
      </c>
      <c r="BR23" s="25">
        <v>9914.73</v>
      </c>
      <c r="BS23" s="25">
        <v>9914.73</v>
      </c>
      <c r="BT23" s="25">
        <v>9977.82</v>
      </c>
      <c r="BU23" s="25"/>
      <c r="BV23" s="25"/>
      <c r="BW23" s="25"/>
      <c r="BX23" s="25"/>
      <c r="BY23" s="25">
        <v>2159.13</v>
      </c>
      <c r="BZ23" s="25">
        <v>2059.13</v>
      </c>
      <c r="CA23" s="25">
        <v>2059.13</v>
      </c>
      <c r="CB23" s="25">
        <v>2059.13</v>
      </c>
      <c r="CC23" s="25">
        <v>2059.13</v>
      </c>
      <c r="CD23" s="25">
        <v>2059.13</v>
      </c>
      <c r="CE23" s="25">
        <v>2059.13</v>
      </c>
      <c r="CF23" s="25">
        <v>2059.13</v>
      </c>
      <c r="CG23" s="25"/>
      <c r="CH23" s="25"/>
      <c r="CI23" s="25"/>
      <c r="CJ23" s="25"/>
      <c r="CK23" s="25">
        <v>15327.16</v>
      </c>
      <c r="CL23" s="25">
        <v>15327.16</v>
      </c>
      <c r="CM23" s="25">
        <v>15327.16</v>
      </c>
      <c r="CN23" s="25">
        <v>15327.16</v>
      </c>
      <c r="CO23" s="25">
        <v>15327.16</v>
      </c>
      <c r="CP23" s="25">
        <v>15327.16</v>
      </c>
      <c r="CQ23" s="25">
        <v>15327.16</v>
      </c>
      <c r="CR23" s="25">
        <v>15327.16</v>
      </c>
      <c r="CW23" s="59">
        <v>11273.89</v>
      </c>
      <c r="CX23" s="59">
        <v>11273.89</v>
      </c>
      <c r="CY23" s="59">
        <v>11273.89</v>
      </c>
      <c r="CZ23" s="59">
        <v>11273.89</v>
      </c>
      <c r="DA23" s="59">
        <v>11273.89</v>
      </c>
      <c r="DB23" s="59">
        <v>11273.89</v>
      </c>
      <c r="DC23" s="59"/>
      <c r="DD23" s="59"/>
      <c r="DE23" s="59"/>
      <c r="DF23" s="59"/>
      <c r="DG23" s="59"/>
      <c r="DH23" s="59"/>
      <c r="DI23" s="59">
        <v>12836.49</v>
      </c>
      <c r="DJ23" s="59">
        <v>13124.2</v>
      </c>
      <c r="DK23" s="59">
        <v>13755</v>
      </c>
      <c r="DL23" s="59">
        <v>13755</v>
      </c>
      <c r="DM23" s="59">
        <v>13755</v>
      </c>
      <c r="DN23" s="59">
        <v>15375.21</v>
      </c>
      <c r="DO23" s="60" t="s">
        <v>53</v>
      </c>
      <c r="DP23" s="60" t="s">
        <v>53</v>
      </c>
      <c r="DQ23" s="60" t="s">
        <v>53</v>
      </c>
      <c r="DR23" s="60" t="s">
        <v>53</v>
      </c>
      <c r="DS23" s="60" t="s">
        <v>53</v>
      </c>
      <c r="DT23" s="59">
        <v>-17550.150000000001</v>
      </c>
      <c r="DU23" s="59">
        <v>-17550.150000000001</v>
      </c>
      <c r="DV23" s="59">
        <v>-17550.150000000001</v>
      </c>
      <c r="DW23" s="59">
        <v>-15778.35</v>
      </c>
      <c r="DX23" s="59">
        <v>-15778.35</v>
      </c>
      <c r="DY23" s="59">
        <v>-15778.35</v>
      </c>
      <c r="DZ23" s="59">
        <v>-15778.35</v>
      </c>
      <c r="EA23" s="59">
        <v>-15191.85</v>
      </c>
      <c r="EB23" s="60" t="s">
        <v>53</v>
      </c>
      <c r="EC23" s="60" t="s">
        <v>53</v>
      </c>
      <c r="ED23" s="60" t="s">
        <v>53</v>
      </c>
      <c r="EE23" s="60" t="s">
        <v>53</v>
      </c>
    </row>
    <row r="24" spans="1:135" ht="15.75" customHeight="1" x14ac:dyDescent="0.25">
      <c r="AB24" s="17"/>
      <c r="AH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C24" s="17"/>
      <c r="BD24" s="17"/>
      <c r="BE24" s="17"/>
      <c r="BF24" s="17"/>
      <c r="BG24" s="17"/>
      <c r="BH24" s="17"/>
      <c r="BI24" s="17"/>
      <c r="BK24" s="17"/>
      <c r="BL24" s="17"/>
      <c r="BM24" s="17"/>
      <c r="BN24" s="17"/>
      <c r="BO24" s="17"/>
      <c r="BP24" s="14"/>
      <c r="BQ24" s="16"/>
      <c r="BR24" s="1"/>
      <c r="BS24" s="1"/>
    </row>
    <row r="25" spans="1:135" ht="15.75" customHeight="1" x14ac:dyDescent="0.25">
      <c r="BO25" s="17"/>
      <c r="BP25" s="14"/>
      <c r="BQ25" s="16"/>
      <c r="BR25" s="1"/>
      <c r="BS25" s="1"/>
      <c r="DI25" s="48"/>
      <c r="DJ25" s="48"/>
    </row>
    <row r="26" spans="1:135" ht="15.75" customHeight="1" x14ac:dyDescent="0.25">
      <c r="D26" s="1" t="s">
        <v>54</v>
      </c>
      <c r="BO26" s="17"/>
      <c r="BP26" s="14"/>
      <c r="BQ26" s="16"/>
      <c r="BR26" s="1"/>
      <c r="BS26" s="1"/>
      <c r="DB26" s="61"/>
      <c r="DC26" s="61"/>
      <c r="DD26" s="61"/>
      <c r="DE26" s="61"/>
      <c r="DF26" s="61"/>
      <c r="DG26" s="61"/>
      <c r="DH26" s="61"/>
      <c r="DR26" s="48"/>
    </row>
    <row r="27" spans="1:135" ht="15.75" customHeight="1" x14ac:dyDescent="0.25">
      <c r="BO27" s="17"/>
      <c r="BP27" s="14"/>
      <c r="BQ27" s="16"/>
      <c r="BR27" s="1"/>
      <c r="BS27" s="1"/>
    </row>
    <row r="28" spans="1:135" ht="15.75" customHeight="1" x14ac:dyDescent="0.25">
      <c r="BO28" s="17"/>
      <c r="BP28" s="14"/>
      <c r="BQ28" s="16"/>
      <c r="BR28" s="15"/>
      <c r="BS28" s="1"/>
    </row>
    <row r="29" spans="1:135" ht="15.75" customHeight="1" x14ac:dyDescent="0.25">
      <c r="BO29" s="17"/>
      <c r="BP29" s="14"/>
      <c r="BQ29" s="16"/>
      <c r="BR29" s="1"/>
      <c r="BS29" s="1"/>
    </row>
    <row r="30" spans="1:135" ht="15.75" customHeight="1" x14ac:dyDescent="0.25">
      <c r="BO30" s="17"/>
      <c r="BP30" s="14"/>
      <c r="BQ30" s="16"/>
      <c r="BR30" s="1"/>
      <c r="BS30" s="1"/>
      <c r="DR30" s="48"/>
    </row>
    <row r="31" spans="1:135" ht="15.75" customHeight="1" x14ac:dyDescent="0.25">
      <c r="BO31" s="17"/>
      <c r="BP31" s="14"/>
      <c r="BQ31" s="16"/>
      <c r="BR31" s="1"/>
      <c r="BS31" s="1"/>
    </row>
    <row r="32" spans="1:135" ht="15.75" customHeight="1" x14ac:dyDescent="0.25">
      <c r="BO32" s="17"/>
      <c r="BP32" s="14"/>
      <c r="BQ32" s="16"/>
      <c r="BR32" s="1"/>
      <c r="BS32" s="1"/>
    </row>
    <row r="33" spans="67:71" ht="15.75" customHeight="1" x14ac:dyDescent="0.25">
      <c r="BO33" s="17"/>
      <c r="BP33" s="14"/>
      <c r="BQ33" s="16"/>
      <c r="BR33" s="1"/>
      <c r="BS33" s="1"/>
    </row>
    <row r="34" spans="67:71" ht="15.75" customHeight="1" x14ac:dyDescent="0.25">
      <c r="BO34" s="17"/>
      <c r="BP34" s="14"/>
      <c r="BQ34" s="16"/>
      <c r="BR34" s="1"/>
      <c r="BS34" s="1"/>
    </row>
    <row r="35" spans="67:71" ht="15.75" customHeight="1" x14ac:dyDescent="0.25">
      <c r="BO35" s="17"/>
      <c r="BP35" s="14"/>
      <c r="BQ35" s="16"/>
      <c r="BR35" s="1"/>
      <c r="BS35" s="1"/>
    </row>
    <row r="36" spans="67:71" ht="15.75" customHeight="1" x14ac:dyDescent="0.25">
      <c r="BO36" s="17"/>
      <c r="BP36" s="14"/>
      <c r="BQ36" s="16"/>
      <c r="BR36" s="1"/>
      <c r="BS36" s="1"/>
    </row>
    <row r="37" spans="67:71" ht="15.75" customHeight="1" x14ac:dyDescent="0.25">
      <c r="BP37" s="6"/>
      <c r="BQ37" s="7"/>
      <c r="BR37" s="1"/>
      <c r="BS37" s="1"/>
    </row>
    <row r="38" spans="67:71" ht="15.75" customHeight="1" x14ac:dyDescent="0.25">
      <c r="BP38" s="6"/>
      <c r="BQ38" s="7"/>
      <c r="BR38" s="1"/>
      <c r="BS38" s="1"/>
    </row>
    <row r="39" spans="67:71" ht="15.75" customHeight="1" x14ac:dyDescent="0.25">
      <c r="BP39" s="6"/>
      <c r="BQ39" s="7"/>
      <c r="BR39" s="1"/>
      <c r="BS39" s="1"/>
    </row>
    <row r="40" spans="67:71" ht="15.75" customHeight="1" x14ac:dyDescent="0.25">
      <c r="BP40" s="6"/>
      <c r="BQ40" s="7"/>
      <c r="BR40" s="1"/>
      <c r="BS40" s="1"/>
    </row>
    <row r="41" spans="67:71" ht="15.75" customHeight="1" x14ac:dyDescent="0.25">
      <c r="BP41" s="6"/>
      <c r="BQ41" s="7"/>
      <c r="BR41" s="1"/>
      <c r="BS41" s="1"/>
    </row>
    <row r="42" spans="67:71" ht="15.75" customHeight="1" x14ac:dyDescent="0.25">
      <c r="BP42" s="6"/>
      <c r="BQ42" s="7"/>
      <c r="BR42" s="1"/>
      <c r="BS42" s="1"/>
    </row>
    <row r="43" spans="67:71" ht="15.75" customHeight="1" x14ac:dyDescent="0.25">
      <c r="BP43" s="6"/>
      <c r="BQ43" s="7"/>
      <c r="BR43" s="1"/>
      <c r="BS43" s="1"/>
    </row>
    <row r="44" spans="67:71" ht="15.75" customHeight="1" x14ac:dyDescent="0.25">
      <c r="BP44" s="6"/>
      <c r="BQ44" s="7"/>
      <c r="BR44" s="1"/>
      <c r="BS44" s="1"/>
    </row>
    <row r="45" spans="67:71" ht="15.75" customHeight="1" x14ac:dyDescent="0.25">
      <c r="BP45" s="6"/>
      <c r="BQ45" s="7"/>
      <c r="BR45" s="1"/>
      <c r="BS45" s="1"/>
    </row>
    <row r="46" spans="67:71" ht="15.75" customHeight="1" x14ac:dyDescent="0.25">
      <c r="BP46" s="6"/>
      <c r="BQ46" s="7"/>
      <c r="BR46" s="1"/>
      <c r="BS46" s="1"/>
    </row>
    <row r="47" spans="67:71" ht="15.75" customHeight="1" x14ac:dyDescent="0.25">
      <c r="BP47" s="6"/>
      <c r="BQ47" s="7"/>
      <c r="BR47" s="1"/>
      <c r="BS47" s="1"/>
    </row>
    <row r="48" spans="67:71" ht="15.75" customHeight="1" x14ac:dyDescent="0.25">
      <c r="BP48" s="6"/>
      <c r="BQ48" s="7"/>
      <c r="BR48" s="1"/>
      <c r="BS48" s="1"/>
    </row>
    <row r="49" spans="68:71" ht="15.75" customHeight="1" x14ac:dyDescent="0.25">
      <c r="BP49" s="6"/>
      <c r="BQ49" s="7"/>
      <c r="BR49" s="1"/>
      <c r="BS49" s="1"/>
    </row>
    <row r="50" spans="68:71" ht="15.75" customHeight="1" x14ac:dyDescent="0.25">
      <c r="BP50" s="6"/>
      <c r="BQ50" s="7"/>
      <c r="BR50" s="1"/>
      <c r="BS50" s="1"/>
    </row>
    <row r="51" spans="68:71" ht="15.75" customHeight="1" x14ac:dyDescent="0.25">
      <c r="BP51" s="6"/>
      <c r="BQ51" s="7"/>
      <c r="BR51" s="1"/>
      <c r="BS51" s="1"/>
    </row>
    <row r="52" spans="68:71" ht="15.75" customHeight="1" x14ac:dyDescent="0.25">
      <c r="BP52" s="6"/>
      <c r="BQ52" s="7"/>
      <c r="BR52" s="1"/>
      <c r="BS52" s="1"/>
    </row>
    <row r="53" spans="68:71" ht="15.75" customHeight="1" x14ac:dyDescent="0.25">
      <c r="BP53" s="6"/>
      <c r="BQ53" s="7"/>
      <c r="BR53" s="1"/>
      <c r="BS53" s="1"/>
    </row>
    <row r="54" spans="68:71" ht="15.75" customHeight="1" x14ac:dyDescent="0.25">
      <c r="BP54" s="6"/>
      <c r="BQ54" s="7"/>
      <c r="BR54" s="1"/>
      <c r="BS54" s="1"/>
    </row>
    <row r="55" spans="68:71" ht="15.75" customHeight="1" x14ac:dyDescent="0.25">
      <c r="BP55" s="6"/>
      <c r="BQ55" s="7"/>
      <c r="BR55" s="1"/>
      <c r="BS55" s="1"/>
    </row>
    <row r="56" spans="68:71" ht="15.75" customHeight="1" x14ac:dyDescent="0.25">
      <c r="BP56" s="6"/>
      <c r="BQ56" s="7"/>
      <c r="BR56" s="1"/>
      <c r="BS56" s="1"/>
    </row>
    <row r="57" spans="68:71" ht="15.75" customHeight="1" x14ac:dyDescent="0.25">
      <c r="BP57" s="6"/>
      <c r="BQ57" s="7"/>
      <c r="BR57" s="1"/>
      <c r="BS57" s="1"/>
    </row>
    <row r="58" spans="68:71" ht="15.75" customHeight="1" x14ac:dyDescent="0.25">
      <c r="BP58" s="6"/>
      <c r="BQ58" s="7"/>
      <c r="BR58" s="1"/>
      <c r="BS58" s="1"/>
    </row>
    <row r="59" spans="68:71" ht="15.75" customHeight="1" x14ac:dyDescent="0.25">
      <c r="BP59" s="6"/>
      <c r="BQ59" s="7"/>
      <c r="BR59" s="1"/>
      <c r="BS59" s="1"/>
    </row>
    <row r="60" spans="68:71" ht="15.75" customHeight="1" x14ac:dyDescent="0.25">
      <c r="BP60" s="6"/>
      <c r="BQ60" s="7"/>
      <c r="BR60" s="1"/>
      <c r="BS60" s="1"/>
    </row>
    <row r="61" spans="68:71" ht="15.75" customHeight="1" x14ac:dyDescent="0.25">
      <c r="BP61" s="6"/>
      <c r="BQ61" s="7"/>
      <c r="BR61" s="1"/>
      <c r="BS61" s="1"/>
    </row>
    <row r="62" spans="68:71" ht="15.75" customHeight="1" x14ac:dyDescent="0.25">
      <c r="BP62" s="6"/>
      <c r="BQ62" s="7"/>
      <c r="BR62" s="1"/>
      <c r="BS62" s="1"/>
    </row>
    <row r="63" spans="68:71" ht="15.75" customHeight="1" x14ac:dyDescent="0.25">
      <c r="BP63" s="6"/>
      <c r="BQ63" s="7"/>
      <c r="BR63" s="1"/>
      <c r="BS63" s="1"/>
    </row>
    <row r="64" spans="68:71" ht="15.75" customHeight="1" x14ac:dyDescent="0.25">
      <c r="BP64" s="6"/>
      <c r="BQ64" s="7"/>
      <c r="BR64" s="1"/>
      <c r="BS64" s="1"/>
    </row>
    <row r="65" spans="68:71" ht="15.75" customHeight="1" x14ac:dyDescent="0.25">
      <c r="BP65" s="6"/>
      <c r="BQ65" s="7"/>
      <c r="BR65" s="1"/>
      <c r="BS65" s="1"/>
    </row>
    <row r="66" spans="68:71" ht="15.75" customHeight="1" x14ac:dyDescent="0.25">
      <c r="BP66" s="6"/>
      <c r="BQ66" s="7"/>
      <c r="BR66" s="1"/>
      <c r="BS66" s="1"/>
    </row>
    <row r="67" spans="68:71" ht="15.75" customHeight="1" x14ac:dyDescent="0.25">
      <c r="BP67" s="6"/>
      <c r="BQ67" s="7"/>
      <c r="BR67" s="1"/>
      <c r="BS67" s="1"/>
    </row>
    <row r="68" spans="68:71" ht="15.75" customHeight="1" x14ac:dyDescent="0.25">
      <c r="BP68" s="6"/>
      <c r="BQ68" s="7"/>
      <c r="BR68" s="1"/>
      <c r="BS68" s="1"/>
    </row>
    <row r="69" spans="68:71" ht="15.75" customHeight="1" x14ac:dyDescent="0.25">
      <c r="BP69" s="6"/>
      <c r="BQ69" s="7"/>
      <c r="BR69" s="1"/>
      <c r="BS69" s="1"/>
    </row>
    <row r="70" spans="68:71" ht="15.75" customHeight="1" x14ac:dyDescent="0.25">
      <c r="BP70" s="6"/>
      <c r="BQ70" s="7"/>
      <c r="BR70" s="1"/>
      <c r="BS70" s="1"/>
    </row>
    <row r="71" spans="68:71" ht="15.75" customHeight="1" x14ac:dyDescent="0.25">
      <c r="BP71" s="6"/>
      <c r="BQ71" s="7"/>
      <c r="BR71" s="1"/>
      <c r="BS71" s="1"/>
    </row>
    <row r="72" spans="68:71" ht="15.75" customHeight="1" x14ac:dyDescent="0.25">
      <c r="BP72" s="6"/>
      <c r="BQ72" s="7"/>
      <c r="BR72" s="1"/>
      <c r="BS72" s="1"/>
    </row>
    <row r="73" spans="68:71" ht="15.75" customHeight="1" x14ac:dyDescent="0.25">
      <c r="BP73" s="6"/>
      <c r="BQ73" s="7"/>
      <c r="BR73" s="1"/>
      <c r="BS73" s="1"/>
    </row>
    <row r="74" spans="68:71" ht="15.75" customHeight="1" x14ac:dyDescent="0.25">
      <c r="BP74" s="6"/>
      <c r="BQ74" s="7"/>
      <c r="BR74" s="1"/>
      <c r="BS74" s="1"/>
    </row>
    <row r="75" spans="68:71" ht="15.75" customHeight="1" x14ac:dyDescent="0.25">
      <c r="BP75" s="6"/>
      <c r="BQ75" s="7"/>
      <c r="BR75" s="1"/>
      <c r="BS75" s="1"/>
    </row>
    <row r="76" spans="68:71" ht="15.75" customHeight="1" x14ac:dyDescent="0.25">
      <c r="BP76" s="6"/>
      <c r="BQ76" s="7"/>
      <c r="BR76" s="1"/>
      <c r="BS76" s="1"/>
    </row>
    <row r="77" spans="68:71" ht="15.75" customHeight="1" x14ac:dyDescent="0.25">
      <c r="BP77" s="6"/>
      <c r="BQ77" s="7"/>
      <c r="BR77" s="1"/>
      <c r="BS77" s="1"/>
    </row>
    <row r="78" spans="68:71" ht="15.75" customHeight="1" x14ac:dyDescent="0.25">
      <c r="BP78" s="6"/>
      <c r="BQ78" s="7"/>
      <c r="BR78" s="1"/>
      <c r="BS78" s="1"/>
    </row>
    <row r="79" spans="68:71" ht="15.75" customHeight="1" x14ac:dyDescent="0.25">
      <c r="BP79" s="6"/>
      <c r="BQ79" s="7"/>
      <c r="BR79" s="1"/>
      <c r="BS79" s="1"/>
    </row>
    <row r="80" spans="68:71" ht="15.75" customHeight="1" x14ac:dyDescent="0.25">
      <c r="BP80" s="6"/>
      <c r="BQ80" s="7"/>
      <c r="BR80" s="1"/>
      <c r="BS80" s="1"/>
    </row>
    <row r="81" spans="68:71" ht="15.75" customHeight="1" x14ac:dyDescent="0.25">
      <c r="BP81" s="6"/>
      <c r="BQ81" s="7"/>
      <c r="BR81" s="1"/>
      <c r="BS81" s="1"/>
    </row>
    <row r="82" spans="68:71" ht="15.75" customHeight="1" x14ac:dyDescent="0.25">
      <c r="BP82" s="6"/>
      <c r="BQ82" s="7"/>
      <c r="BR82" s="1"/>
      <c r="BS82" s="1"/>
    </row>
    <row r="83" spans="68:71" ht="15.75" customHeight="1" x14ac:dyDescent="0.25">
      <c r="BP83" s="6"/>
      <c r="BQ83" s="7"/>
      <c r="BR83" s="1"/>
      <c r="BS83" s="1"/>
    </row>
    <row r="84" spans="68:71" ht="15.75" customHeight="1" x14ac:dyDescent="0.25">
      <c r="BP84" s="6"/>
      <c r="BQ84" s="7"/>
      <c r="BR84" s="1"/>
      <c r="BS84" s="1"/>
    </row>
    <row r="85" spans="68:71" ht="15.75" customHeight="1" x14ac:dyDescent="0.25">
      <c r="BP85" s="6"/>
      <c r="BQ85" s="7"/>
      <c r="BR85" s="1"/>
      <c r="BS85" s="1"/>
    </row>
    <row r="86" spans="68:71" ht="15.75" customHeight="1" x14ac:dyDescent="0.25">
      <c r="BP86" s="6"/>
      <c r="BQ86" s="7"/>
      <c r="BR86" s="1"/>
      <c r="BS86" s="1"/>
    </row>
    <row r="87" spans="68:71" ht="15.75" customHeight="1" x14ac:dyDescent="0.25">
      <c r="BP87" s="6"/>
      <c r="BQ87" s="7"/>
      <c r="BR87" s="1"/>
      <c r="BS87" s="1"/>
    </row>
    <row r="88" spans="68:71" ht="15.75" customHeight="1" x14ac:dyDescent="0.25">
      <c r="BP88" s="6"/>
      <c r="BQ88" s="7"/>
      <c r="BR88" s="1"/>
      <c r="BS88" s="1"/>
    </row>
    <row r="89" spans="68:71" ht="15.75" customHeight="1" x14ac:dyDescent="0.25">
      <c r="BP89" s="6"/>
      <c r="BQ89" s="7"/>
      <c r="BR89" s="1"/>
      <c r="BS89" s="1"/>
    </row>
    <row r="90" spans="68:71" ht="15.75" customHeight="1" x14ac:dyDescent="0.25">
      <c r="BP90" s="6"/>
      <c r="BQ90" s="7"/>
      <c r="BR90" s="1"/>
      <c r="BS90" s="1"/>
    </row>
    <row r="91" spans="68:71" ht="15.75" customHeight="1" x14ac:dyDescent="0.25">
      <c r="BP91" s="6"/>
      <c r="BQ91" s="7"/>
      <c r="BR91" s="1"/>
      <c r="BS91" s="1"/>
    </row>
    <row r="92" spans="68:71" ht="15.75" customHeight="1" x14ac:dyDescent="0.25">
      <c r="BP92" s="6"/>
      <c r="BQ92" s="7"/>
      <c r="BR92" s="1"/>
      <c r="BS92" s="1"/>
    </row>
    <row r="93" spans="68:71" ht="15.75" customHeight="1" x14ac:dyDescent="0.25">
      <c r="BP93" s="6"/>
      <c r="BQ93" s="7"/>
      <c r="BR93" s="1"/>
      <c r="BS93" s="1"/>
    </row>
    <row r="94" spans="68:71" ht="15.75" customHeight="1" x14ac:dyDescent="0.25">
      <c r="BP94" s="6"/>
      <c r="BQ94" s="7"/>
      <c r="BR94" s="1"/>
      <c r="BS94" s="1"/>
    </row>
    <row r="95" spans="68:71" ht="15.75" customHeight="1" x14ac:dyDescent="0.25">
      <c r="BP95" s="6"/>
      <c r="BQ95" s="7"/>
      <c r="BR95" s="1"/>
      <c r="BS95" s="1"/>
    </row>
    <row r="96" spans="68:71" ht="15.75" customHeight="1" x14ac:dyDescent="0.25">
      <c r="BP96" s="6"/>
      <c r="BQ96" s="7"/>
      <c r="BR96" s="1"/>
      <c r="BS96" s="1"/>
    </row>
    <row r="97" spans="68:71" ht="15.75" customHeight="1" x14ac:dyDescent="0.25">
      <c r="BP97" s="6"/>
      <c r="BQ97" s="7"/>
      <c r="BR97" s="1"/>
      <c r="BS97" s="1"/>
    </row>
    <row r="98" spans="68:71" ht="15.75" customHeight="1" x14ac:dyDescent="0.25">
      <c r="BP98" s="6"/>
      <c r="BQ98" s="7"/>
      <c r="BR98" s="1"/>
      <c r="BS98" s="1"/>
    </row>
    <row r="99" spans="68:71" ht="15.75" customHeight="1" x14ac:dyDescent="0.25">
      <c r="BP99" s="6"/>
      <c r="BQ99" s="7"/>
      <c r="BR99" s="1"/>
      <c r="BS99" s="1"/>
    </row>
    <row r="100" spans="68:71" ht="15.75" customHeight="1" x14ac:dyDescent="0.25">
      <c r="BP100" s="6"/>
      <c r="BQ100" s="7"/>
      <c r="BR100" s="1"/>
      <c r="BS100" s="1"/>
    </row>
    <row r="101" spans="68:71" ht="15.75" customHeight="1" x14ac:dyDescent="0.25">
      <c r="BP101" s="6"/>
      <c r="BQ101" s="7"/>
      <c r="BR101" s="1"/>
      <c r="BS101" s="1"/>
    </row>
    <row r="102" spans="68:71" ht="15.75" customHeight="1" x14ac:dyDescent="0.25">
      <c r="BP102" s="6"/>
      <c r="BQ102" s="7"/>
      <c r="BR102" s="1"/>
      <c r="BS102" s="1"/>
    </row>
    <row r="103" spans="68:71" ht="15.75" customHeight="1" x14ac:dyDescent="0.25">
      <c r="BP103" s="6"/>
      <c r="BQ103" s="7"/>
      <c r="BR103" s="1"/>
      <c r="BS103" s="1"/>
    </row>
    <row r="104" spans="68:71" ht="15.75" customHeight="1" x14ac:dyDescent="0.25">
      <c r="BP104" s="6"/>
      <c r="BQ104" s="7"/>
      <c r="BR104" s="1"/>
      <c r="BS104" s="1"/>
    </row>
    <row r="105" spans="68:71" ht="15.75" customHeight="1" x14ac:dyDescent="0.25">
      <c r="BP105" s="6"/>
      <c r="BQ105" s="7"/>
      <c r="BR105" s="1"/>
      <c r="BS105" s="1"/>
    </row>
    <row r="106" spans="68:71" ht="15.75" customHeight="1" x14ac:dyDescent="0.25">
      <c r="BP106" s="6"/>
      <c r="BQ106" s="7"/>
      <c r="BR106" s="1"/>
      <c r="BS106" s="1"/>
    </row>
    <row r="107" spans="68:71" ht="15.75" customHeight="1" x14ac:dyDescent="0.25">
      <c r="BP107" s="6"/>
      <c r="BQ107" s="7"/>
      <c r="BR107" s="1"/>
      <c r="BS107" s="1"/>
    </row>
    <row r="108" spans="68:71" ht="15.75" customHeight="1" x14ac:dyDescent="0.25">
      <c r="BP108" s="6"/>
      <c r="BQ108" s="7"/>
      <c r="BR108" s="1"/>
      <c r="BS108" s="1"/>
    </row>
    <row r="109" spans="68:71" ht="15.75" customHeight="1" x14ac:dyDescent="0.25">
      <c r="BP109" s="6"/>
      <c r="BQ109" s="7"/>
      <c r="BR109" s="1"/>
      <c r="BS109" s="1"/>
    </row>
    <row r="110" spans="68:71" ht="15.75" customHeight="1" x14ac:dyDescent="0.25">
      <c r="BP110" s="6"/>
      <c r="BQ110" s="7"/>
      <c r="BR110" s="1"/>
      <c r="BS110" s="1"/>
    </row>
    <row r="111" spans="68:71" ht="15.75" customHeight="1" x14ac:dyDescent="0.25">
      <c r="BP111" s="6"/>
      <c r="BQ111" s="7"/>
      <c r="BR111" s="1"/>
      <c r="BS111" s="1"/>
    </row>
    <row r="112" spans="68:71" ht="15.75" customHeight="1" x14ac:dyDescent="0.25">
      <c r="BP112" s="6"/>
      <c r="BQ112" s="7"/>
      <c r="BR112" s="1"/>
      <c r="BS112" s="1"/>
    </row>
    <row r="113" spans="68:71" ht="15.75" customHeight="1" x14ac:dyDescent="0.25">
      <c r="BP113" s="6"/>
      <c r="BQ113" s="7"/>
      <c r="BR113" s="1"/>
      <c r="BS113" s="1"/>
    </row>
    <row r="114" spans="68:71" ht="15.75" customHeight="1" x14ac:dyDescent="0.25">
      <c r="BP114" s="6"/>
      <c r="BQ114" s="7"/>
      <c r="BR114" s="1"/>
      <c r="BS114" s="1"/>
    </row>
    <row r="115" spans="68:71" ht="15.75" customHeight="1" x14ac:dyDescent="0.25">
      <c r="BP115" s="6"/>
      <c r="BQ115" s="7"/>
      <c r="BR115" s="1"/>
      <c r="BS115" s="1"/>
    </row>
    <row r="116" spans="68:71" ht="15.75" customHeight="1" x14ac:dyDescent="0.25">
      <c r="BP116" s="6"/>
      <c r="BQ116" s="7"/>
      <c r="BR116" s="1"/>
      <c r="BS116" s="1"/>
    </row>
    <row r="117" spans="68:71" ht="15.75" customHeight="1" x14ac:dyDescent="0.25">
      <c r="BP117" s="6"/>
      <c r="BQ117" s="7"/>
      <c r="BR117" s="1"/>
      <c r="BS117" s="1"/>
    </row>
    <row r="118" spans="68:71" ht="15.75" customHeight="1" x14ac:dyDescent="0.25">
      <c r="BP118" s="6"/>
      <c r="BQ118" s="7"/>
      <c r="BR118" s="1"/>
      <c r="BS118" s="1"/>
    </row>
    <row r="119" spans="68:71" ht="15.75" customHeight="1" x14ac:dyDescent="0.25">
      <c r="BP119" s="6"/>
      <c r="BQ119" s="7"/>
      <c r="BR119" s="1"/>
      <c r="BS119" s="1"/>
    </row>
    <row r="120" spans="68:71" ht="15.75" customHeight="1" x14ac:dyDescent="0.25">
      <c r="BP120" s="6"/>
      <c r="BQ120" s="7"/>
      <c r="BR120" s="1"/>
      <c r="BS120" s="1"/>
    </row>
    <row r="121" spans="68:71" ht="15.75" customHeight="1" x14ac:dyDescent="0.25">
      <c r="BP121" s="6"/>
      <c r="BQ121" s="7"/>
      <c r="BR121" s="1"/>
      <c r="BS121" s="1"/>
    </row>
    <row r="122" spans="68:71" ht="15.75" customHeight="1" x14ac:dyDescent="0.25">
      <c r="BP122" s="6"/>
      <c r="BQ122" s="7"/>
      <c r="BR122" s="1"/>
      <c r="BS122" s="1"/>
    </row>
    <row r="123" spans="68:71" ht="15.75" customHeight="1" x14ac:dyDescent="0.25">
      <c r="BP123" s="6"/>
      <c r="BQ123" s="7"/>
      <c r="BR123" s="1"/>
      <c r="BS123" s="1"/>
    </row>
    <row r="124" spans="68:71" ht="15.75" customHeight="1" x14ac:dyDescent="0.25">
      <c r="BP124" s="6"/>
      <c r="BQ124" s="7"/>
      <c r="BR124" s="1"/>
      <c r="BS124" s="1"/>
    </row>
    <row r="125" spans="68:71" ht="15.75" customHeight="1" x14ac:dyDescent="0.25">
      <c r="BP125" s="6"/>
      <c r="BQ125" s="7"/>
      <c r="BR125" s="1"/>
      <c r="BS125" s="1"/>
    </row>
    <row r="126" spans="68:71" ht="15.75" customHeight="1" x14ac:dyDescent="0.25">
      <c r="BP126" s="6"/>
      <c r="BQ126" s="7"/>
      <c r="BR126" s="1"/>
      <c r="BS126" s="1"/>
    </row>
    <row r="127" spans="68:71" ht="15.75" customHeight="1" x14ac:dyDescent="0.25">
      <c r="BP127" s="6"/>
      <c r="BQ127" s="7"/>
      <c r="BR127" s="1"/>
      <c r="BS127" s="1"/>
    </row>
    <row r="128" spans="68:71" ht="15.75" customHeight="1" x14ac:dyDescent="0.25">
      <c r="BP128" s="6"/>
      <c r="BQ128" s="7"/>
      <c r="BR128" s="1"/>
      <c r="BS128" s="1"/>
    </row>
    <row r="129" spans="68:71" ht="15.75" customHeight="1" x14ac:dyDescent="0.25">
      <c r="BP129" s="6"/>
      <c r="BQ129" s="7"/>
      <c r="BR129" s="1"/>
      <c r="BS129" s="1"/>
    </row>
    <row r="130" spans="68:71" ht="15.75" customHeight="1" x14ac:dyDescent="0.25">
      <c r="BP130" s="6"/>
      <c r="BQ130" s="7"/>
      <c r="BR130" s="1"/>
      <c r="BS130" s="1"/>
    </row>
    <row r="131" spans="68:71" ht="15.75" customHeight="1" x14ac:dyDescent="0.25">
      <c r="BP131" s="6"/>
      <c r="BQ131" s="7"/>
      <c r="BR131" s="1"/>
      <c r="BS131" s="1"/>
    </row>
    <row r="132" spans="68:71" ht="15.75" customHeight="1" x14ac:dyDescent="0.25">
      <c r="BP132" s="6"/>
      <c r="BQ132" s="7"/>
      <c r="BR132" s="1"/>
      <c r="BS132" s="1"/>
    </row>
    <row r="133" spans="68:71" ht="15.75" customHeight="1" x14ac:dyDescent="0.25">
      <c r="BP133" s="6"/>
      <c r="BQ133" s="7"/>
      <c r="BR133" s="1"/>
      <c r="BS133" s="1"/>
    </row>
    <row r="134" spans="68:71" ht="15.75" customHeight="1" x14ac:dyDescent="0.25">
      <c r="BP134" s="6"/>
      <c r="BQ134" s="7"/>
      <c r="BR134" s="1"/>
      <c r="BS134" s="1"/>
    </row>
    <row r="135" spans="68:71" ht="15.75" customHeight="1" x14ac:dyDescent="0.25">
      <c r="BP135" s="6"/>
      <c r="BQ135" s="7"/>
      <c r="BR135" s="1"/>
      <c r="BS135" s="1"/>
    </row>
    <row r="136" spans="68:71" ht="15.75" customHeight="1" x14ac:dyDescent="0.25">
      <c r="BP136" s="6"/>
      <c r="BQ136" s="7"/>
      <c r="BR136" s="1"/>
      <c r="BS136" s="1"/>
    </row>
    <row r="137" spans="68:71" ht="15.75" customHeight="1" x14ac:dyDescent="0.25">
      <c r="BP137" s="6"/>
      <c r="BQ137" s="7"/>
      <c r="BR137" s="1"/>
      <c r="BS137" s="1"/>
    </row>
    <row r="138" spans="68:71" ht="15.75" customHeight="1" x14ac:dyDescent="0.25">
      <c r="BP138" s="6"/>
      <c r="BQ138" s="7"/>
      <c r="BR138" s="1"/>
      <c r="BS138" s="1"/>
    </row>
    <row r="139" spans="68:71" ht="15.75" customHeight="1" x14ac:dyDescent="0.25">
      <c r="BP139" s="6"/>
      <c r="BQ139" s="7"/>
      <c r="BR139" s="1"/>
      <c r="BS139" s="1"/>
    </row>
    <row r="140" spans="68:71" ht="15.75" customHeight="1" x14ac:dyDescent="0.25">
      <c r="BP140" s="6"/>
      <c r="BQ140" s="7"/>
      <c r="BR140" s="1"/>
      <c r="BS140" s="1"/>
    </row>
    <row r="141" spans="68:71" ht="15.75" customHeight="1" x14ac:dyDescent="0.25">
      <c r="BP141" s="6"/>
      <c r="BQ141" s="7"/>
      <c r="BR141" s="1"/>
      <c r="BS141" s="1"/>
    </row>
    <row r="142" spans="68:71" ht="15.75" customHeight="1" x14ac:dyDescent="0.25">
      <c r="BP142" s="6"/>
      <c r="BQ142" s="7"/>
      <c r="BR142" s="1"/>
      <c r="BS142" s="1"/>
    </row>
    <row r="143" spans="68:71" ht="15.75" customHeight="1" x14ac:dyDescent="0.25">
      <c r="BP143" s="6"/>
      <c r="BQ143" s="7"/>
      <c r="BR143" s="1"/>
      <c r="BS143" s="1"/>
    </row>
    <row r="144" spans="68:71" ht="15.75" customHeight="1" x14ac:dyDescent="0.25">
      <c r="BP144" s="6"/>
      <c r="BQ144" s="7"/>
      <c r="BR144" s="1"/>
      <c r="BS144" s="1"/>
    </row>
    <row r="145" spans="68:71" ht="15.75" customHeight="1" x14ac:dyDescent="0.25">
      <c r="BP145" s="6"/>
      <c r="BQ145" s="7"/>
      <c r="BR145" s="1"/>
      <c r="BS145" s="1"/>
    </row>
    <row r="146" spans="68:71" ht="15.75" customHeight="1" x14ac:dyDescent="0.25">
      <c r="BP146" s="6"/>
      <c r="BQ146" s="7"/>
      <c r="BR146" s="1"/>
      <c r="BS146" s="1"/>
    </row>
    <row r="147" spans="68:71" ht="15.75" customHeight="1" x14ac:dyDescent="0.25">
      <c r="BP147" s="6"/>
      <c r="BQ147" s="7"/>
      <c r="BR147" s="1"/>
      <c r="BS147" s="1"/>
    </row>
    <row r="148" spans="68:71" ht="15.75" customHeight="1" x14ac:dyDescent="0.25">
      <c r="BP148" s="6"/>
      <c r="BQ148" s="7"/>
      <c r="BR148" s="1"/>
      <c r="BS148" s="1"/>
    </row>
    <row r="149" spans="68:71" ht="15.75" customHeight="1" x14ac:dyDescent="0.25">
      <c r="BP149" s="6"/>
      <c r="BQ149" s="7"/>
      <c r="BR149" s="1"/>
      <c r="BS149" s="1"/>
    </row>
    <row r="150" spans="68:71" ht="15.75" customHeight="1" x14ac:dyDescent="0.25">
      <c r="BP150" s="6"/>
      <c r="BQ150" s="7"/>
      <c r="BR150" s="1"/>
      <c r="BS150" s="1"/>
    </row>
    <row r="151" spans="68:71" ht="15.75" customHeight="1" x14ac:dyDescent="0.25">
      <c r="BP151" s="6"/>
      <c r="BQ151" s="7"/>
      <c r="BR151" s="1"/>
      <c r="BS151" s="1"/>
    </row>
    <row r="152" spans="68:71" ht="15.75" customHeight="1" x14ac:dyDescent="0.25">
      <c r="BP152" s="6"/>
      <c r="BQ152" s="7"/>
      <c r="BR152" s="1"/>
      <c r="BS152" s="1"/>
    </row>
    <row r="153" spans="68:71" ht="15.75" customHeight="1" x14ac:dyDescent="0.25">
      <c r="BP153" s="6"/>
      <c r="BQ153" s="7"/>
      <c r="BR153" s="1"/>
      <c r="BS153" s="1"/>
    </row>
    <row r="154" spans="68:71" ht="15.75" customHeight="1" x14ac:dyDescent="0.25">
      <c r="BP154" s="6"/>
      <c r="BQ154" s="7"/>
      <c r="BR154" s="1"/>
      <c r="BS154" s="1"/>
    </row>
    <row r="155" spans="68:71" ht="15.75" customHeight="1" x14ac:dyDescent="0.25">
      <c r="BP155" s="6"/>
      <c r="BQ155" s="7"/>
      <c r="BR155" s="1"/>
      <c r="BS155" s="1"/>
    </row>
    <row r="156" spans="68:71" ht="15.75" customHeight="1" x14ac:dyDescent="0.25">
      <c r="BP156" s="6"/>
      <c r="BQ156" s="7"/>
      <c r="BR156" s="1"/>
      <c r="BS156" s="1"/>
    </row>
    <row r="157" spans="68:71" ht="15.75" customHeight="1" x14ac:dyDescent="0.25">
      <c r="BP157" s="6"/>
      <c r="BQ157" s="7"/>
      <c r="BR157" s="1"/>
      <c r="BS157" s="1"/>
    </row>
    <row r="158" spans="68:71" ht="15.75" customHeight="1" x14ac:dyDescent="0.25">
      <c r="BP158" s="6"/>
      <c r="BQ158" s="7"/>
      <c r="BR158" s="1"/>
      <c r="BS158" s="1"/>
    </row>
    <row r="159" spans="68:71" ht="15.75" customHeight="1" x14ac:dyDescent="0.25">
      <c r="BP159" s="6"/>
      <c r="BQ159" s="7"/>
      <c r="BR159" s="1"/>
      <c r="BS159" s="1"/>
    </row>
    <row r="160" spans="68:71" ht="15.75" customHeight="1" x14ac:dyDescent="0.25">
      <c r="BP160" s="6"/>
      <c r="BQ160" s="7"/>
      <c r="BR160" s="1"/>
      <c r="BS160" s="1"/>
    </row>
    <row r="161" spans="68:71" ht="15.75" customHeight="1" x14ac:dyDescent="0.25">
      <c r="BP161" s="6"/>
      <c r="BQ161" s="7"/>
      <c r="BR161" s="1"/>
      <c r="BS161" s="1"/>
    </row>
    <row r="162" spans="68:71" ht="15.75" customHeight="1" x14ac:dyDescent="0.25">
      <c r="BP162" s="6"/>
      <c r="BQ162" s="7"/>
      <c r="BR162" s="1"/>
      <c r="BS162" s="1"/>
    </row>
    <row r="163" spans="68:71" ht="15.75" customHeight="1" x14ac:dyDescent="0.25">
      <c r="BP163" s="6"/>
      <c r="BQ163" s="7"/>
      <c r="BR163" s="1"/>
      <c r="BS163" s="1"/>
    </row>
    <row r="164" spans="68:71" ht="15.75" customHeight="1" x14ac:dyDescent="0.25">
      <c r="BP164" s="6"/>
      <c r="BQ164" s="7"/>
      <c r="BR164" s="1"/>
      <c r="BS164" s="1"/>
    </row>
    <row r="165" spans="68:71" ht="15.75" customHeight="1" x14ac:dyDescent="0.25">
      <c r="BP165" s="6"/>
      <c r="BQ165" s="7"/>
      <c r="BR165" s="1"/>
      <c r="BS165" s="1"/>
    </row>
    <row r="166" spans="68:71" ht="15.75" customHeight="1" x14ac:dyDescent="0.25">
      <c r="BP166" s="6"/>
      <c r="BQ166" s="7"/>
      <c r="BR166" s="1"/>
      <c r="BS166" s="1"/>
    </row>
    <row r="167" spans="68:71" ht="15.75" customHeight="1" x14ac:dyDescent="0.25">
      <c r="BP167" s="6"/>
      <c r="BQ167" s="7"/>
      <c r="BR167" s="1"/>
      <c r="BS167" s="1"/>
    </row>
    <row r="168" spans="68:71" ht="15.75" customHeight="1" x14ac:dyDescent="0.25">
      <c r="BP168" s="6"/>
      <c r="BQ168" s="7"/>
      <c r="BR168" s="1"/>
      <c r="BS168" s="1"/>
    </row>
    <row r="169" spans="68:71" ht="15.75" customHeight="1" x14ac:dyDescent="0.25">
      <c r="BP169" s="6"/>
      <c r="BQ169" s="7"/>
      <c r="BR169" s="1"/>
      <c r="BS169" s="1"/>
    </row>
    <row r="170" spans="68:71" ht="15.75" customHeight="1" x14ac:dyDescent="0.25">
      <c r="BP170" s="6"/>
      <c r="BQ170" s="7"/>
      <c r="BR170" s="1"/>
      <c r="BS170" s="1"/>
    </row>
    <row r="171" spans="68:71" ht="15.75" customHeight="1" x14ac:dyDescent="0.25">
      <c r="BP171" s="6"/>
      <c r="BQ171" s="7"/>
      <c r="BR171" s="1"/>
      <c r="BS171" s="1"/>
    </row>
    <row r="172" spans="68:71" ht="15.75" customHeight="1" x14ac:dyDescent="0.25">
      <c r="BP172" s="6"/>
      <c r="BQ172" s="7"/>
      <c r="BR172" s="1"/>
      <c r="BS172" s="1"/>
    </row>
    <row r="173" spans="68:71" ht="15.75" customHeight="1" x14ac:dyDescent="0.25">
      <c r="BP173" s="6"/>
      <c r="BQ173" s="7"/>
      <c r="BR173" s="1"/>
      <c r="BS173" s="1"/>
    </row>
    <row r="174" spans="68:71" ht="15.75" customHeight="1" x14ac:dyDescent="0.25">
      <c r="BP174" s="6"/>
      <c r="BQ174" s="7"/>
      <c r="BR174" s="1"/>
      <c r="BS174" s="1"/>
    </row>
    <row r="175" spans="68:71" ht="15.75" customHeight="1" x14ac:dyDescent="0.25">
      <c r="BP175" s="6"/>
      <c r="BQ175" s="7"/>
      <c r="BR175" s="1"/>
      <c r="BS175" s="1"/>
    </row>
    <row r="176" spans="68:71" ht="15.75" customHeight="1" x14ac:dyDescent="0.25">
      <c r="BP176" s="6"/>
      <c r="BQ176" s="7"/>
      <c r="BR176" s="1"/>
      <c r="BS176" s="1"/>
    </row>
    <row r="177" spans="68:71" ht="15.75" customHeight="1" x14ac:dyDescent="0.25">
      <c r="BP177" s="6"/>
      <c r="BQ177" s="7"/>
      <c r="BR177" s="1"/>
      <c r="BS177" s="1"/>
    </row>
    <row r="178" spans="68:71" ht="15.75" customHeight="1" x14ac:dyDescent="0.25">
      <c r="BP178" s="6"/>
      <c r="BQ178" s="7"/>
      <c r="BR178" s="1"/>
      <c r="BS178" s="1"/>
    </row>
    <row r="179" spans="68:71" ht="15.75" customHeight="1" x14ac:dyDescent="0.25">
      <c r="BP179" s="6"/>
      <c r="BQ179" s="7"/>
      <c r="BR179" s="1"/>
      <c r="BS179" s="1"/>
    </row>
    <row r="180" spans="68:71" ht="15.75" customHeight="1" x14ac:dyDescent="0.25">
      <c r="BP180" s="6"/>
      <c r="BQ180" s="7"/>
      <c r="BR180" s="1"/>
      <c r="BS180" s="1"/>
    </row>
    <row r="181" spans="68:71" ht="15.75" customHeight="1" x14ac:dyDescent="0.25">
      <c r="BP181" s="6"/>
      <c r="BQ181" s="7"/>
      <c r="BR181" s="1"/>
      <c r="BS181" s="1"/>
    </row>
    <row r="182" spans="68:71" ht="15.75" customHeight="1" x14ac:dyDescent="0.25">
      <c r="BP182" s="6"/>
      <c r="BQ182" s="7"/>
      <c r="BR182" s="1"/>
      <c r="BS182" s="1"/>
    </row>
    <row r="183" spans="68:71" ht="15.75" customHeight="1" x14ac:dyDescent="0.25">
      <c r="BP183" s="6"/>
      <c r="BQ183" s="7"/>
      <c r="BR183" s="1"/>
      <c r="BS183" s="1"/>
    </row>
    <row r="184" spans="68:71" ht="15.75" customHeight="1" x14ac:dyDescent="0.25">
      <c r="BP184" s="6"/>
      <c r="BQ184" s="7"/>
      <c r="BR184" s="1"/>
      <c r="BS184" s="1"/>
    </row>
    <row r="185" spans="68:71" ht="15.75" customHeight="1" x14ac:dyDescent="0.25">
      <c r="BP185" s="6"/>
      <c r="BQ185" s="7"/>
      <c r="BR185" s="1"/>
      <c r="BS185" s="1"/>
    </row>
    <row r="186" spans="68:71" ht="15.75" customHeight="1" x14ac:dyDescent="0.25">
      <c r="BP186" s="6"/>
      <c r="BQ186" s="7"/>
      <c r="BR186" s="1"/>
      <c r="BS186" s="1"/>
    </row>
    <row r="187" spans="68:71" ht="15.75" customHeight="1" x14ac:dyDescent="0.25">
      <c r="BP187" s="6"/>
      <c r="BQ187" s="7"/>
      <c r="BR187" s="1"/>
      <c r="BS187" s="1"/>
    </row>
    <row r="188" spans="68:71" ht="15.75" customHeight="1" x14ac:dyDescent="0.25">
      <c r="BP188" s="6"/>
      <c r="BQ188" s="7"/>
      <c r="BR188" s="1"/>
      <c r="BS188" s="1"/>
    </row>
    <row r="189" spans="68:71" ht="15.75" customHeight="1" x14ac:dyDescent="0.25">
      <c r="BP189" s="6"/>
      <c r="BQ189" s="7"/>
      <c r="BR189" s="1"/>
      <c r="BS189" s="1"/>
    </row>
    <row r="190" spans="68:71" ht="15.75" customHeight="1" x14ac:dyDescent="0.25">
      <c r="BP190" s="6"/>
      <c r="BQ190" s="7"/>
      <c r="BR190" s="1"/>
      <c r="BS190" s="1"/>
    </row>
    <row r="191" spans="68:71" ht="15.75" customHeight="1" x14ac:dyDescent="0.25">
      <c r="BP191" s="6"/>
      <c r="BQ191" s="7"/>
      <c r="BR191" s="1"/>
      <c r="BS191" s="1"/>
    </row>
    <row r="192" spans="68:71" ht="15.75" customHeight="1" x14ac:dyDescent="0.25">
      <c r="BP192" s="6"/>
      <c r="BQ192" s="7"/>
      <c r="BR192" s="1"/>
      <c r="BS192" s="1"/>
    </row>
    <row r="193" spans="68:71" ht="15.75" customHeight="1" x14ac:dyDescent="0.25">
      <c r="BP193" s="6"/>
      <c r="BQ193" s="7"/>
      <c r="BR193" s="1"/>
      <c r="BS193" s="1"/>
    </row>
    <row r="194" spans="68:71" ht="15.75" customHeight="1" x14ac:dyDescent="0.25">
      <c r="BP194" s="6"/>
      <c r="BQ194" s="7"/>
      <c r="BR194" s="1"/>
      <c r="BS194" s="1"/>
    </row>
    <row r="195" spans="68:71" ht="15.75" customHeight="1" x14ac:dyDescent="0.25">
      <c r="BP195" s="6"/>
      <c r="BQ195" s="7"/>
      <c r="BR195" s="1"/>
      <c r="BS195" s="1"/>
    </row>
    <row r="196" spans="68:71" ht="15.75" customHeight="1" x14ac:dyDescent="0.25">
      <c r="BP196" s="6"/>
      <c r="BQ196" s="7"/>
      <c r="BR196" s="1"/>
      <c r="BS196" s="1"/>
    </row>
    <row r="197" spans="68:71" ht="15.75" customHeight="1" x14ac:dyDescent="0.25">
      <c r="BP197" s="6"/>
      <c r="BQ197" s="7"/>
      <c r="BR197" s="1"/>
      <c r="BS197" s="1"/>
    </row>
    <row r="198" spans="68:71" ht="15.75" customHeight="1" x14ac:dyDescent="0.25">
      <c r="BP198" s="6"/>
      <c r="BQ198" s="7"/>
      <c r="BR198" s="1"/>
      <c r="BS198" s="1"/>
    </row>
    <row r="199" spans="68:71" ht="15.75" customHeight="1" x14ac:dyDescent="0.25">
      <c r="BP199" s="6"/>
      <c r="BQ199" s="7"/>
      <c r="BR199" s="1"/>
      <c r="BS199" s="1"/>
    </row>
    <row r="200" spans="68:71" ht="15.75" customHeight="1" x14ac:dyDescent="0.25">
      <c r="BP200" s="6"/>
      <c r="BQ200" s="7"/>
      <c r="BR200" s="1"/>
      <c r="BS200" s="1"/>
    </row>
    <row r="201" spans="68:71" ht="15.75" customHeight="1" x14ac:dyDescent="0.25">
      <c r="BP201" s="6"/>
      <c r="BQ201" s="7"/>
      <c r="BR201" s="1"/>
      <c r="BS201" s="1"/>
    </row>
    <row r="202" spans="68:71" ht="15.75" customHeight="1" x14ac:dyDescent="0.25">
      <c r="BP202" s="6"/>
      <c r="BQ202" s="7"/>
      <c r="BR202" s="1"/>
      <c r="BS202" s="1"/>
    </row>
    <row r="203" spans="68:71" ht="15.75" customHeight="1" x14ac:dyDescent="0.25">
      <c r="BP203" s="6"/>
      <c r="BQ203" s="7"/>
      <c r="BR203" s="1"/>
      <c r="BS203" s="1"/>
    </row>
    <row r="204" spans="68:71" ht="15.75" customHeight="1" x14ac:dyDescent="0.25">
      <c r="BP204" s="6"/>
      <c r="BQ204" s="7"/>
      <c r="BR204" s="1"/>
      <c r="BS204" s="1"/>
    </row>
    <row r="205" spans="68:71" ht="15.75" customHeight="1" x14ac:dyDescent="0.25">
      <c r="BP205" s="6"/>
      <c r="BQ205" s="7"/>
      <c r="BR205" s="1"/>
      <c r="BS205" s="1"/>
    </row>
    <row r="206" spans="68:71" ht="15.75" customHeight="1" x14ac:dyDescent="0.25">
      <c r="BP206" s="6"/>
      <c r="BQ206" s="7"/>
      <c r="BR206" s="1"/>
      <c r="BS206" s="1"/>
    </row>
    <row r="207" spans="68:71" ht="15.75" customHeight="1" x14ac:dyDescent="0.25">
      <c r="BP207" s="6"/>
      <c r="BQ207" s="7"/>
      <c r="BR207" s="1"/>
      <c r="BS207" s="1"/>
    </row>
    <row r="208" spans="68:71" ht="15.75" customHeight="1" x14ac:dyDescent="0.25">
      <c r="BP208" s="6"/>
      <c r="BQ208" s="7"/>
      <c r="BR208" s="1"/>
      <c r="BS208" s="1"/>
    </row>
    <row r="209" spans="68:71" ht="15.75" customHeight="1" x14ac:dyDescent="0.25">
      <c r="BP209" s="6"/>
      <c r="BQ209" s="7"/>
      <c r="BR209" s="1"/>
      <c r="BS209" s="1"/>
    </row>
    <row r="210" spans="68:71" ht="15.75" customHeight="1" x14ac:dyDescent="0.25">
      <c r="BP210" s="6"/>
      <c r="BQ210" s="7"/>
      <c r="BR210" s="1"/>
      <c r="BS210" s="1"/>
    </row>
    <row r="211" spans="68:71" ht="15.75" customHeight="1" x14ac:dyDescent="0.25">
      <c r="BP211" s="6"/>
      <c r="BQ211" s="7"/>
      <c r="BR211" s="1"/>
      <c r="BS211" s="1"/>
    </row>
    <row r="212" spans="68:71" ht="15.75" customHeight="1" x14ac:dyDescent="0.25">
      <c r="BP212" s="6"/>
      <c r="BQ212" s="7"/>
      <c r="BR212" s="1"/>
      <c r="BS212" s="1"/>
    </row>
    <row r="213" spans="68:71" ht="15.75" customHeight="1" x14ac:dyDescent="0.25">
      <c r="BP213" s="6"/>
      <c r="BQ213" s="7"/>
      <c r="BR213" s="1"/>
      <c r="BS213" s="1"/>
    </row>
    <row r="214" spans="68:71" ht="15.75" customHeight="1" x14ac:dyDescent="0.25">
      <c r="BP214" s="6"/>
      <c r="BQ214" s="7"/>
      <c r="BR214" s="1"/>
      <c r="BS214" s="1"/>
    </row>
    <row r="215" spans="68:71" ht="15.75" customHeight="1" x14ac:dyDescent="0.25">
      <c r="BP215" s="6"/>
      <c r="BQ215" s="7"/>
      <c r="BR215" s="1"/>
      <c r="BS215" s="1"/>
    </row>
    <row r="216" spans="68:71" ht="15.75" customHeight="1" x14ac:dyDescent="0.25">
      <c r="BP216" s="6"/>
      <c r="BQ216" s="7"/>
      <c r="BR216" s="1"/>
      <c r="BS216" s="1"/>
    </row>
    <row r="217" spans="68:71" ht="15.75" customHeight="1" x14ac:dyDescent="0.25">
      <c r="BP217" s="6"/>
      <c r="BQ217" s="7"/>
      <c r="BR217" s="1"/>
      <c r="BS217" s="1"/>
    </row>
    <row r="218" spans="68:71" ht="15.75" customHeight="1" x14ac:dyDescent="0.25">
      <c r="BP218" s="6"/>
      <c r="BQ218" s="7"/>
      <c r="BR218" s="1"/>
      <c r="BS218" s="1"/>
    </row>
    <row r="219" spans="68:71" ht="15.75" customHeight="1" x14ac:dyDescent="0.25">
      <c r="BP219" s="6"/>
      <c r="BQ219" s="7"/>
      <c r="BR219" s="1"/>
      <c r="BS219" s="1"/>
    </row>
    <row r="220" spans="68:71" ht="15.75" customHeight="1" x14ac:dyDescent="0.25">
      <c r="BP220" s="6"/>
      <c r="BQ220" s="7"/>
      <c r="BR220" s="1"/>
      <c r="BS220" s="1"/>
    </row>
    <row r="221" spans="68:71" ht="15.75" customHeight="1" x14ac:dyDescent="0.25">
      <c r="BP221" s="6"/>
      <c r="BQ221" s="7"/>
      <c r="BR221" s="1"/>
      <c r="BS221" s="1"/>
    </row>
    <row r="222" spans="68:71" ht="15.75" customHeight="1" x14ac:dyDescent="0.25">
      <c r="BP222" s="6"/>
      <c r="BQ222" s="7"/>
      <c r="BR222" s="1"/>
      <c r="BS222" s="1"/>
    </row>
    <row r="223" spans="68:71" ht="15.75" customHeight="1" x14ac:dyDescent="0.25">
      <c r="BP223" s="6"/>
      <c r="BQ223" s="7"/>
      <c r="BR223" s="1"/>
      <c r="BS223" s="1"/>
    </row>
    <row r="224" spans="68:71" ht="15.75" customHeight="1" x14ac:dyDescent="0.25">
      <c r="BP224" s="6"/>
      <c r="BQ224" s="7"/>
      <c r="BR224" s="1"/>
      <c r="BS224" s="1"/>
    </row>
    <row r="225" spans="68:71" ht="15.75" customHeight="1" x14ac:dyDescent="0.25">
      <c r="BP225" s="6"/>
      <c r="BQ225" s="7"/>
      <c r="BR225" s="1"/>
      <c r="BS225" s="1"/>
    </row>
    <row r="226" spans="68:71" ht="15.75" customHeight="1" x14ac:dyDescent="0.25">
      <c r="BP226" s="6"/>
      <c r="BQ226" s="7"/>
      <c r="BR226" s="1"/>
      <c r="BS226" s="1"/>
    </row>
    <row r="227" spans="68:71" ht="15.75" customHeight="1" x14ac:dyDescent="0.25">
      <c r="BP227" s="6"/>
      <c r="BQ227" s="7"/>
      <c r="BR227" s="1"/>
      <c r="BS227" s="1"/>
    </row>
    <row r="228" spans="68:71" ht="15.75" customHeight="1" x14ac:dyDescent="0.25">
      <c r="BP228" s="6"/>
      <c r="BQ228" s="7"/>
      <c r="BR228" s="1"/>
      <c r="BS228" s="1"/>
    </row>
    <row r="229" spans="68:71" ht="15.75" customHeight="1" x14ac:dyDescent="0.25">
      <c r="BP229" s="6"/>
      <c r="BQ229" s="7"/>
      <c r="BR229" s="1"/>
      <c r="BS229" s="1"/>
    </row>
    <row r="230" spans="68:71" ht="15.75" customHeight="1" x14ac:dyDescent="0.25">
      <c r="BP230" s="6"/>
      <c r="BQ230" s="7"/>
      <c r="BR230" s="1"/>
      <c r="BS230" s="1"/>
    </row>
    <row r="231" spans="68:71" ht="15.75" customHeight="1" x14ac:dyDescent="0.25">
      <c r="BP231" s="6"/>
      <c r="BQ231" s="7"/>
      <c r="BR231" s="1"/>
      <c r="BS231" s="1"/>
    </row>
    <row r="232" spans="68:71" ht="15.75" customHeight="1" x14ac:dyDescent="0.25">
      <c r="BP232" s="6"/>
      <c r="BQ232" s="7"/>
      <c r="BR232" s="1"/>
      <c r="BS232" s="1"/>
    </row>
    <row r="233" spans="68:71" ht="15.75" customHeight="1" x14ac:dyDescent="0.25">
      <c r="BP233" s="6"/>
      <c r="BQ233" s="7"/>
      <c r="BR233" s="1"/>
      <c r="BS233" s="1"/>
    </row>
    <row r="234" spans="68:71" ht="15.75" customHeight="1" x14ac:dyDescent="0.25">
      <c r="BP234" s="6"/>
      <c r="BQ234" s="7"/>
      <c r="BR234" s="1"/>
      <c r="BS234" s="1"/>
    </row>
    <row r="235" spans="68:71" ht="15.75" customHeight="1" x14ac:dyDescent="0.25">
      <c r="BP235" s="6"/>
      <c r="BQ235" s="7"/>
      <c r="BR235" s="1"/>
      <c r="BS235" s="1"/>
    </row>
    <row r="236" spans="68:71" ht="15.75" customHeight="1" x14ac:dyDescent="0.25">
      <c r="BP236" s="6"/>
      <c r="BQ236" s="7"/>
      <c r="BR236" s="1"/>
      <c r="BS236" s="1"/>
    </row>
    <row r="237" spans="68:71" ht="15.75" customHeight="1" x14ac:dyDescent="0.25">
      <c r="BP237" s="6"/>
      <c r="BQ237" s="7"/>
      <c r="BR237" s="1"/>
      <c r="BS237" s="1"/>
    </row>
    <row r="238" spans="68:71" ht="15.75" customHeight="1" x14ac:dyDescent="0.25">
      <c r="BP238" s="6"/>
      <c r="BQ238" s="7"/>
      <c r="BR238" s="1"/>
      <c r="BS238" s="1"/>
    </row>
    <row r="239" spans="68:71" ht="15.75" customHeight="1" x14ac:dyDescent="0.25">
      <c r="BP239" s="6"/>
      <c r="BQ239" s="7"/>
      <c r="BR239" s="1"/>
      <c r="BS239" s="1"/>
    </row>
    <row r="240" spans="68:71" ht="15.75" customHeight="1" x14ac:dyDescent="0.25">
      <c r="BP240" s="6"/>
      <c r="BQ240" s="7"/>
      <c r="BR240" s="1"/>
      <c r="BS240" s="1"/>
    </row>
    <row r="241" spans="68:71" ht="15.75" customHeight="1" x14ac:dyDescent="0.25">
      <c r="BP241" s="6"/>
      <c r="BQ241" s="7"/>
      <c r="BR241" s="1"/>
      <c r="BS241" s="1"/>
    </row>
    <row r="242" spans="68:71" ht="15.75" customHeight="1" x14ac:dyDescent="0.25">
      <c r="BP242" s="6"/>
      <c r="BQ242" s="7"/>
      <c r="BR242" s="1"/>
      <c r="BS242" s="1"/>
    </row>
    <row r="243" spans="68:71" ht="15.75" customHeight="1" x14ac:dyDescent="0.25">
      <c r="BP243" s="6"/>
      <c r="BQ243" s="7"/>
      <c r="BR243" s="1"/>
      <c r="BS243" s="1"/>
    </row>
    <row r="244" spans="68:71" ht="15.75" customHeight="1" x14ac:dyDescent="0.25">
      <c r="BP244" s="6"/>
      <c r="BQ244" s="7"/>
      <c r="BR244" s="1"/>
      <c r="BS244" s="1"/>
    </row>
    <row r="245" spans="68:71" ht="15.75" customHeight="1" x14ac:dyDescent="0.25">
      <c r="BP245" s="6"/>
      <c r="BQ245" s="7"/>
      <c r="BR245" s="1"/>
      <c r="BS245" s="1"/>
    </row>
    <row r="246" spans="68:71" ht="15.75" customHeight="1" x14ac:dyDescent="0.25">
      <c r="BP246" s="6"/>
      <c r="BQ246" s="7"/>
      <c r="BR246" s="1"/>
      <c r="BS246" s="1"/>
    </row>
    <row r="247" spans="68:71" ht="15.75" customHeight="1" x14ac:dyDescent="0.25">
      <c r="BP247" s="6"/>
      <c r="BQ247" s="7"/>
      <c r="BR247" s="1"/>
      <c r="BS247" s="1"/>
    </row>
    <row r="248" spans="68:71" ht="15.75" customHeight="1" x14ac:dyDescent="0.25">
      <c r="BP248" s="6"/>
      <c r="BQ248" s="7"/>
      <c r="BR248" s="1"/>
      <c r="BS248" s="1"/>
    </row>
    <row r="249" spans="68:71" ht="15.75" customHeight="1" x14ac:dyDescent="0.25">
      <c r="BP249" s="6"/>
      <c r="BQ249" s="7"/>
      <c r="BR249" s="1"/>
      <c r="BS249" s="1"/>
    </row>
    <row r="250" spans="68:71" ht="15.75" customHeight="1" x14ac:dyDescent="0.25">
      <c r="BP250" s="6"/>
      <c r="BQ250" s="7"/>
      <c r="BR250" s="1"/>
      <c r="BS250" s="1"/>
    </row>
    <row r="251" spans="68:71" ht="15.75" customHeight="1" x14ac:dyDescent="0.25">
      <c r="BP251" s="6"/>
      <c r="BQ251" s="7"/>
      <c r="BR251" s="1"/>
      <c r="BS251" s="1"/>
    </row>
    <row r="252" spans="68:71" ht="15.75" customHeight="1" x14ac:dyDescent="0.25">
      <c r="BP252" s="6"/>
      <c r="BQ252" s="7"/>
      <c r="BR252" s="1"/>
      <c r="BS252" s="1"/>
    </row>
    <row r="253" spans="68:71" ht="15.75" customHeight="1" x14ac:dyDescent="0.25">
      <c r="BP253" s="6"/>
      <c r="BQ253" s="7"/>
      <c r="BR253" s="1"/>
      <c r="BS253" s="1"/>
    </row>
    <row r="254" spans="68:71" ht="15.75" customHeight="1" x14ac:dyDescent="0.25">
      <c r="BP254" s="6"/>
      <c r="BQ254" s="7"/>
      <c r="BR254" s="1"/>
      <c r="BS254" s="1"/>
    </row>
    <row r="255" spans="68:71" ht="15.75" customHeight="1" x14ac:dyDescent="0.25">
      <c r="BP255" s="6"/>
      <c r="BQ255" s="7"/>
      <c r="BR255" s="1"/>
      <c r="BS255" s="1"/>
    </row>
    <row r="256" spans="68:71" ht="15.75" customHeight="1" x14ac:dyDescent="0.25">
      <c r="BP256" s="6"/>
      <c r="BQ256" s="7"/>
      <c r="BR256" s="1"/>
      <c r="BS256" s="1"/>
    </row>
    <row r="257" spans="68:71" ht="15.75" customHeight="1" x14ac:dyDescent="0.25">
      <c r="BP257" s="6"/>
      <c r="BQ257" s="7"/>
      <c r="BR257" s="1"/>
      <c r="BS257" s="1"/>
    </row>
    <row r="258" spans="68:71" ht="15.75" customHeight="1" x14ac:dyDescent="0.25">
      <c r="BP258" s="6"/>
      <c r="BQ258" s="7"/>
      <c r="BR258" s="1"/>
      <c r="BS258" s="1"/>
    </row>
    <row r="259" spans="68:71" ht="15.75" customHeight="1" x14ac:dyDescent="0.25">
      <c r="BP259" s="6"/>
      <c r="BQ259" s="7"/>
      <c r="BR259" s="1"/>
      <c r="BS259" s="1"/>
    </row>
    <row r="260" spans="68:71" ht="15.75" customHeight="1" x14ac:dyDescent="0.25">
      <c r="BP260" s="6"/>
      <c r="BQ260" s="7"/>
      <c r="BR260" s="1"/>
      <c r="BS260" s="1"/>
    </row>
    <row r="261" spans="68:71" ht="15.75" customHeight="1" x14ac:dyDescent="0.25">
      <c r="BP261" s="6"/>
      <c r="BQ261" s="7"/>
      <c r="BR261" s="1"/>
      <c r="BS261" s="1"/>
    </row>
    <row r="262" spans="68:71" ht="15.75" customHeight="1" x14ac:dyDescent="0.25">
      <c r="BP262" s="6"/>
      <c r="BQ262" s="7"/>
      <c r="BR262" s="1"/>
      <c r="BS262" s="1"/>
    </row>
    <row r="263" spans="68:71" ht="15.75" customHeight="1" x14ac:dyDescent="0.25">
      <c r="BP263" s="6"/>
      <c r="BQ263" s="7"/>
      <c r="BR263" s="1"/>
      <c r="BS263" s="1"/>
    </row>
    <row r="264" spans="68:71" ht="15.75" customHeight="1" x14ac:dyDescent="0.25">
      <c r="BP264" s="6"/>
      <c r="BQ264" s="7"/>
      <c r="BR264" s="1"/>
      <c r="BS264" s="1"/>
    </row>
    <row r="265" spans="68:71" ht="15.75" customHeight="1" x14ac:dyDescent="0.25">
      <c r="BP265" s="6"/>
      <c r="BQ265" s="7"/>
      <c r="BR265" s="1"/>
      <c r="BS265" s="1"/>
    </row>
    <row r="266" spans="68:71" ht="15.75" customHeight="1" x14ac:dyDescent="0.25">
      <c r="BP266" s="6"/>
      <c r="BQ266" s="7"/>
      <c r="BR266" s="1"/>
      <c r="BS266" s="1"/>
    </row>
    <row r="267" spans="68:71" ht="15.75" customHeight="1" x14ac:dyDescent="0.25">
      <c r="BP267" s="6"/>
      <c r="BQ267" s="7"/>
      <c r="BR267" s="1"/>
      <c r="BS267" s="1"/>
    </row>
    <row r="268" spans="68:71" ht="15.75" customHeight="1" x14ac:dyDescent="0.25">
      <c r="BP268" s="6"/>
      <c r="BQ268" s="7"/>
      <c r="BR268" s="1"/>
      <c r="BS268" s="1"/>
    </row>
    <row r="269" spans="68:71" ht="15.75" customHeight="1" x14ac:dyDescent="0.25">
      <c r="BP269" s="6"/>
      <c r="BQ269" s="7"/>
      <c r="BR269" s="1"/>
      <c r="BS269" s="1"/>
    </row>
    <row r="270" spans="68:71" ht="15.75" customHeight="1" x14ac:dyDescent="0.25">
      <c r="BP270" s="6"/>
      <c r="BQ270" s="7"/>
      <c r="BR270" s="1"/>
      <c r="BS270" s="1"/>
    </row>
    <row r="271" spans="68:71" ht="15.75" customHeight="1" x14ac:dyDescent="0.25">
      <c r="BP271" s="6"/>
      <c r="BQ271" s="7"/>
      <c r="BR271" s="1"/>
      <c r="BS271" s="1"/>
    </row>
    <row r="272" spans="68:71" ht="15.75" customHeight="1" x14ac:dyDescent="0.25">
      <c r="BP272" s="6"/>
      <c r="BQ272" s="7"/>
      <c r="BR272" s="1"/>
      <c r="BS272" s="1"/>
    </row>
    <row r="273" spans="68:71" ht="15.75" customHeight="1" x14ac:dyDescent="0.25">
      <c r="BP273" s="6"/>
      <c r="BQ273" s="7"/>
      <c r="BR273" s="1"/>
      <c r="BS273" s="1"/>
    </row>
    <row r="274" spans="68:71" ht="15.75" customHeight="1" x14ac:dyDescent="0.25">
      <c r="BP274" s="6"/>
      <c r="BQ274" s="7"/>
      <c r="BR274" s="1"/>
      <c r="BS274" s="1"/>
    </row>
    <row r="275" spans="68:71" ht="15.75" customHeight="1" x14ac:dyDescent="0.25">
      <c r="BP275" s="6"/>
      <c r="BQ275" s="7"/>
      <c r="BR275" s="1"/>
      <c r="BS275" s="1"/>
    </row>
    <row r="276" spans="68:71" ht="15.75" customHeight="1" x14ac:dyDescent="0.25">
      <c r="BP276" s="6"/>
      <c r="BQ276" s="7"/>
      <c r="BR276" s="1"/>
      <c r="BS276" s="1"/>
    </row>
    <row r="277" spans="68:71" ht="15.75" customHeight="1" x14ac:dyDescent="0.25">
      <c r="BP277" s="6"/>
      <c r="BQ277" s="7"/>
      <c r="BR277" s="1"/>
      <c r="BS277" s="1"/>
    </row>
    <row r="278" spans="68:71" ht="15.75" customHeight="1" x14ac:dyDescent="0.25">
      <c r="BP278" s="6"/>
      <c r="BQ278" s="7"/>
      <c r="BR278" s="1"/>
      <c r="BS278" s="1"/>
    </row>
    <row r="279" spans="68:71" ht="15.75" customHeight="1" x14ac:dyDescent="0.25">
      <c r="BP279" s="6"/>
      <c r="BQ279" s="7"/>
      <c r="BR279" s="1"/>
      <c r="BS279" s="1"/>
    </row>
    <row r="280" spans="68:71" ht="15.75" customHeight="1" x14ac:dyDescent="0.25">
      <c r="BP280" s="6"/>
      <c r="BQ280" s="7"/>
      <c r="BR280" s="1"/>
      <c r="BS280" s="1"/>
    </row>
    <row r="281" spans="68:71" ht="15.75" customHeight="1" x14ac:dyDescent="0.25">
      <c r="BP281" s="6"/>
      <c r="BQ281" s="7"/>
      <c r="BR281" s="1"/>
      <c r="BS281" s="1"/>
    </row>
    <row r="282" spans="68:71" ht="15.75" customHeight="1" x14ac:dyDescent="0.25">
      <c r="BP282" s="6"/>
      <c r="BQ282" s="7"/>
      <c r="BR282" s="1"/>
      <c r="BS282" s="1"/>
    </row>
    <row r="283" spans="68:71" ht="15.75" customHeight="1" x14ac:dyDescent="0.25">
      <c r="BP283" s="6"/>
      <c r="BQ283" s="7"/>
      <c r="BR283" s="1"/>
      <c r="BS283" s="1"/>
    </row>
    <row r="284" spans="68:71" ht="15.75" customHeight="1" x14ac:dyDescent="0.25">
      <c r="BP284" s="6"/>
      <c r="BQ284" s="7"/>
      <c r="BR284" s="1"/>
      <c r="BS284" s="1"/>
    </row>
    <row r="285" spans="68:71" ht="15.75" customHeight="1" x14ac:dyDescent="0.25">
      <c r="BP285" s="6"/>
      <c r="BQ285" s="7"/>
      <c r="BR285" s="1"/>
      <c r="BS285" s="1"/>
    </row>
    <row r="286" spans="68:71" ht="15.75" customHeight="1" x14ac:dyDescent="0.25">
      <c r="BP286" s="6"/>
      <c r="BQ286" s="7"/>
      <c r="BR286" s="1"/>
      <c r="BS286" s="1"/>
    </row>
    <row r="287" spans="68:71" ht="15.75" customHeight="1" x14ac:dyDescent="0.25">
      <c r="BP287" s="6"/>
      <c r="BQ287" s="7"/>
      <c r="BR287" s="1"/>
      <c r="BS287" s="1"/>
    </row>
    <row r="288" spans="68:71" ht="15.75" customHeight="1" x14ac:dyDescent="0.25">
      <c r="BP288" s="6"/>
      <c r="BQ288" s="7"/>
      <c r="BR288" s="1"/>
      <c r="BS288" s="1"/>
    </row>
    <row r="289" spans="68:71" ht="15.75" customHeight="1" x14ac:dyDescent="0.25">
      <c r="BP289" s="6"/>
      <c r="BQ289" s="7"/>
      <c r="BR289" s="1"/>
      <c r="BS289" s="1"/>
    </row>
    <row r="290" spans="68:71" ht="15.75" customHeight="1" x14ac:dyDescent="0.25">
      <c r="BP290" s="6"/>
      <c r="BQ290" s="7"/>
      <c r="BR290" s="1"/>
      <c r="BS290" s="1"/>
    </row>
    <row r="291" spans="68:71" ht="15.75" customHeight="1" x14ac:dyDescent="0.25">
      <c r="BP291" s="6"/>
      <c r="BQ291" s="7"/>
      <c r="BR291" s="1"/>
      <c r="BS291" s="1"/>
    </row>
    <row r="292" spans="68:71" ht="15.75" customHeight="1" x14ac:dyDescent="0.25">
      <c r="BP292" s="6"/>
      <c r="BQ292" s="7"/>
      <c r="BR292" s="1"/>
      <c r="BS292" s="1"/>
    </row>
    <row r="293" spans="68:71" ht="15.75" customHeight="1" x14ac:dyDescent="0.25">
      <c r="BP293" s="6"/>
      <c r="BQ293" s="7"/>
      <c r="BR293" s="1"/>
      <c r="BS293" s="1"/>
    </row>
    <row r="294" spans="68:71" ht="15.75" customHeight="1" x14ac:dyDescent="0.25">
      <c r="BP294" s="6"/>
      <c r="BQ294" s="7"/>
      <c r="BR294" s="1"/>
      <c r="BS294" s="1"/>
    </row>
    <row r="295" spans="68:71" ht="15.75" customHeight="1" x14ac:dyDescent="0.25">
      <c r="BP295" s="6"/>
      <c r="BQ295" s="7"/>
      <c r="BR295" s="1"/>
      <c r="BS295" s="1"/>
    </row>
    <row r="296" spans="68:71" ht="15.75" customHeight="1" x14ac:dyDescent="0.25">
      <c r="BP296" s="6"/>
      <c r="BQ296" s="7"/>
      <c r="BR296" s="1"/>
      <c r="BS296" s="1"/>
    </row>
    <row r="297" spans="68:71" ht="15.75" customHeight="1" x14ac:dyDescent="0.25">
      <c r="BP297" s="6"/>
      <c r="BQ297" s="7"/>
      <c r="BR297" s="1"/>
      <c r="BS297" s="1"/>
    </row>
    <row r="298" spans="68:71" ht="15.75" customHeight="1" x14ac:dyDescent="0.25">
      <c r="BP298" s="6"/>
      <c r="BQ298" s="7"/>
      <c r="BR298" s="1"/>
      <c r="BS298" s="1"/>
    </row>
    <row r="299" spans="68:71" ht="15.75" customHeight="1" x14ac:dyDescent="0.25">
      <c r="BP299" s="6"/>
      <c r="BQ299" s="7"/>
      <c r="BR299" s="1"/>
      <c r="BS299" s="1"/>
    </row>
    <row r="300" spans="68:71" ht="15.75" customHeight="1" x14ac:dyDescent="0.25">
      <c r="BP300" s="6"/>
      <c r="BQ300" s="7"/>
      <c r="BR300" s="1"/>
      <c r="BS300" s="1"/>
    </row>
    <row r="301" spans="68:71" ht="15.75" customHeight="1" x14ac:dyDescent="0.25">
      <c r="BP301" s="6"/>
      <c r="BQ301" s="7"/>
      <c r="BR301" s="1"/>
      <c r="BS301" s="1"/>
    </row>
    <row r="302" spans="68:71" ht="15.75" customHeight="1" x14ac:dyDescent="0.25">
      <c r="BP302" s="6"/>
      <c r="BQ302" s="7"/>
      <c r="BR302" s="1"/>
      <c r="BS302" s="1"/>
    </row>
    <row r="303" spans="68:71" ht="15.75" customHeight="1" x14ac:dyDescent="0.25">
      <c r="BP303" s="6"/>
      <c r="BQ303" s="7"/>
      <c r="BR303" s="1"/>
      <c r="BS303" s="1"/>
    </row>
    <row r="304" spans="68:71" ht="15.75" customHeight="1" x14ac:dyDescent="0.25">
      <c r="BP304" s="6"/>
      <c r="BQ304" s="7"/>
      <c r="BR304" s="1"/>
      <c r="BS304" s="1"/>
    </row>
    <row r="305" spans="68:71" ht="15.75" customHeight="1" x14ac:dyDescent="0.25">
      <c r="BP305" s="6"/>
      <c r="BQ305" s="7"/>
      <c r="BR305" s="1"/>
      <c r="BS305" s="1"/>
    </row>
    <row r="306" spans="68:71" ht="15.75" customHeight="1" x14ac:dyDescent="0.25">
      <c r="BP306" s="6"/>
      <c r="BQ306" s="7"/>
      <c r="BR306" s="1"/>
      <c r="BS306" s="1"/>
    </row>
    <row r="307" spans="68:71" ht="15.75" customHeight="1" x14ac:dyDescent="0.25">
      <c r="BP307" s="6"/>
      <c r="BQ307" s="7"/>
      <c r="BR307" s="1"/>
      <c r="BS307" s="1"/>
    </row>
    <row r="308" spans="68:71" ht="15.75" customHeight="1" x14ac:dyDescent="0.25">
      <c r="BP308" s="6"/>
      <c r="BQ308" s="7"/>
      <c r="BR308" s="1"/>
      <c r="BS308" s="1"/>
    </row>
    <row r="309" spans="68:71" ht="15.75" customHeight="1" x14ac:dyDescent="0.25">
      <c r="BP309" s="6"/>
      <c r="BQ309" s="7"/>
      <c r="BR309" s="1"/>
      <c r="BS309" s="1"/>
    </row>
    <row r="310" spans="68:71" ht="15.75" customHeight="1" x14ac:dyDescent="0.25">
      <c r="BP310" s="6"/>
      <c r="BQ310" s="7"/>
      <c r="BR310" s="1"/>
      <c r="BS310" s="1"/>
    </row>
    <row r="311" spans="68:71" ht="15.75" customHeight="1" x14ac:dyDescent="0.25">
      <c r="BP311" s="6"/>
      <c r="BQ311" s="7"/>
      <c r="BR311" s="1"/>
      <c r="BS311" s="1"/>
    </row>
    <row r="312" spans="68:71" ht="15.75" customHeight="1" x14ac:dyDescent="0.25">
      <c r="BP312" s="6"/>
      <c r="BQ312" s="7"/>
      <c r="BR312" s="1"/>
      <c r="BS312" s="1"/>
    </row>
    <row r="313" spans="68:71" ht="15.75" customHeight="1" x14ac:dyDescent="0.25">
      <c r="BP313" s="6"/>
      <c r="BQ313" s="7"/>
      <c r="BR313" s="1"/>
      <c r="BS313" s="1"/>
    </row>
    <row r="314" spans="68:71" ht="15.75" customHeight="1" x14ac:dyDescent="0.25">
      <c r="BP314" s="6"/>
      <c r="BQ314" s="7"/>
      <c r="BR314" s="1"/>
      <c r="BS314" s="1"/>
    </row>
    <row r="315" spans="68:71" ht="15.75" customHeight="1" x14ac:dyDescent="0.25">
      <c r="BP315" s="6"/>
      <c r="BQ315" s="7"/>
      <c r="BR315" s="1"/>
      <c r="BS315" s="1"/>
    </row>
    <row r="316" spans="68:71" ht="15.75" customHeight="1" x14ac:dyDescent="0.25">
      <c r="BP316" s="6"/>
      <c r="BQ316" s="7"/>
      <c r="BR316" s="1"/>
      <c r="BS316" s="1"/>
    </row>
    <row r="317" spans="68:71" ht="15.75" customHeight="1" x14ac:dyDescent="0.25">
      <c r="BP317" s="6"/>
      <c r="BQ317" s="7"/>
      <c r="BR317" s="1"/>
      <c r="BS317" s="1"/>
    </row>
    <row r="318" spans="68:71" ht="15.75" customHeight="1" x14ac:dyDescent="0.25">
      <c r="BP318" s="6"/>
      <c r="BQ318" s="7"/>
      <c r="BR318" s="1"/>
      <c r="BS318" s="1"/>
    </row>
    <row r="319" spans="68:71" ht="15.75" customHeight="1" x14ac:dyDescent="0.25">
      <c r="BP319" s="6"/>
      <c r="BQ319" s="7"/>
      <c r="BR319" s="1"/>
      <c r="BS319" s="1"/>
    </row>
    <row r="320" spans="68:71" ht="15.75" customHeight="1" x14ac:dyDescent="0.25">
      <c r="BP320" s="6"/>
      <c r="BQ320" s="7"/>
      <c r="BR320" s="1"/>
      <c r="BS320" s="1"/>
    </row>
    <row r="321" spans="68:71" ht="15.75" customHeight="1" x14ac:dyDescent="0.25">
      <c r="BP321" s="6"/>
      <c r="BQ321" s="7"/>
      <c r="BR321" s="1"/>
      <c r="BS321" s="1"/>
    </row>
    <row r="322" spans="68:71" ht="15.75" customHeight="1" x14ac:dyDescent="0.25">
      <c r="BP322" s="6"/>
      <c r="BQ322" s="7"/>
      <c r="BR322" s="1"/>
      <c r="BS322" s="1"/>
    </row>
    <row r="323" spans="68:71" ht="15.75" customHeight="1" x14ac:dyDescent="0.25">
      <c r="BP323" s="6"/>
      <c r="BQ323" s="7"/>
      <c r="BR323" s="1"/>
      <c r="BS323" s="1"/>
    </row>
    <row r="324" spans="68:71" ht="15.75" customHeight="1" x14ac:dyDescent="0.25">
      <c r="BP324" s="6"/>
      <c r="BQ324" s="7"/>
      <c r="BR324" s="1"/>
      <c r="BS324" s="1"/>
    </row>
    <row r="325" spans="68:71" ht="15.75" customHeight="1" x14ac:dyDescent="0.25">
      <c r="BP325" s="6"/>
      <c r="BQ325" s="7"/>
      <c r="BR325" s="1"/>
      <c r="BS325" s="1"/>
    </row>
    <row r="326" spans="68:71" ht="15.75" customHeight="1" x14ac:dyDescent="0.25">
      <c r="BP326" s="6"/>
      <c r="BQ326" s="7"/>
      <c r="BR326" s="1"/>
      <c r="BS326" s="1"/>
    </row>
    <row r="327" spans="68:71" ht="15.75" customHeight="1" x14ac:dyDescent="0.25">
      <c r="BP327" s="6"/>
      <c r="BQ327" s="7"/>
      <c r="BR327" s="1"/>
      <c r="BS327" s="1"/>
    </row>
    <row r="328" spans="68:71" ht="15.75" customHeight="1" x14ac:dyDescent="0.25">
      <c r="BP328" s="6"/>
      <c r="BQ328" s="7"/>
      <c r="BR328" s="1"/>
      <c r="BS328" s="1"/>
    </row>
    <row r="329" spans="68:71" ht="15.75" customHeight="1" x14ac:dyDescent="0.25">
      <c r="BP329" s="6"/>
      <c r="BQ329" s="7"/>
      <c r="BR329" s="1"/>
      <c r="BS329" s="1"/>
    </row>
    <row r="330" spans="68:71" ht="15.75" customHeight="1" x14ac:dyDescent="0.25">
      <c r="BP330" s="6"/>
      <c r="BQ330" s="7"/>
      <c r="BR330" s="1"/>
      <c r="BS330" s="1"/>
    </row>
    <row r="331" spans="68:71" ht="15.75" customHeight="1" x14ac:dyDescent="0.25">
      <c r="BP331" s="6"/>
      <c r="BQ331" s="7"/>
      <c r="BR331" s="1"/>
      <c r="BS331" s="1"/>
    </row>
    <row r="332" spans="68:71" ht="15.75" customHeight="1" x14ac:dyDescent="0.25">
      <c r="BP332" s="6"/>
      <c r="BQ332" s="7"/>
      <c r="BR332" s="1"/>
      <c r="BS332" s="1"/>
    </row>
    <row r="333" spans="68:71" ht="15.75" customHeight="1" x14ac:dyDescent="0.25">
      <c r="BP333" s="6"/>
      <c r="BQ333" s="7"/>
      <c r="BR333" s="1"/>
      <c r="BS333" s="1"/>
    </row>
    <row r="334" spans="68:71" ht="15.75" customHeight="1" x14ac:dyDescent="0.25">
      <c r="BP334" s="6"/>
      <c r="BQ334" s="7"/>
      <c r="BR334" s="1"/>
      <c r="BS334" s="1"/>
    </row>
    <row r="335" spans="68:71" ht="15.75" customHeight="1" x14ac:dyDescent="0.25">
      <c r="BP335" s="6"/>
      <c r="BQ335" s="7"/>
      <c r="BR335" s="1"/>
      <c r="BS335" s="1"/>
    </row>
    <row r="336" spans="68:71" ht="15.75" customHeight="1" x14ac:dyDescent="0.25">
      <c r="BP336" s="6"/>
      <c r="BQ336" s="7"/>
      <c r="BR336" s="1"/>
      <c r="BS336" s="1"/>
    </row>
    <row r="337" spans="68:71" ht="15.75" customHeight="1" x14ac:dyDescent="0.25">
      <c r="BP337" s="6"/>
      <c r="BQ337" s="7"/>
      <c r="BR337" s="1"/>
      <c r="BS337" s="1"/>
    </row>
    <row r="338" spans="68:71" ht="15.75" customHeight="1" x14ac:dyDescent="0.25">
      <c r="BP338" s="6"/>
      <c r="BQ338" s="7"/>
      <c r="BR338" s="1"/>
      <c r="BS338" s="1"/>
    </row>
    <row r="339" spans="68:71" ht="15.75" customHeight="1" x14ac:dyDescent="0.25">
      <c r="BP339" s="6"/>
      <c r="BQ339" s="7"/>
      <c r="BR339" s="1"/>
      <c r="BS339" s="1"/>
    </row>
    <row r="340" spans="68:71" ht="15.75" customHeight="1" x14ac:dyDescent="0.25">
      <c r="BP340" s="6"/>
      <c r="BQ340" s="7"/>
      <c r="BR340" s="1"/>
      <c r="BS340" s="1"/>
    </row>
    <row r="341" spans="68:71" ht="15.75" customHeight="1" x14ac:dyDescent="0.25">
      <c r="BP341" s="6"/>
      <c r="BQ341" s="7"/>
      <c r="BR341" s="1"/>
      <c r="BS341" s="1"/>
    </row>
    <row r="342" spans="68:71" ht="15.75" customHeight="1" x14ac:dyDescent="0.25">
      <c r="BP342" s="6"/>
      <c r="BQ342" s="7"/>
      <c r="BR342" s="1"/>
      <c r="BS342" s="1"/>
    </row>
    <row r="343" spans="68:71" ht="15.75" customHeight="1" x14ac:dyDescent="0.25">
      <c r="BP343" s="6"/>
      <c r="BQ343" s="7"/>
      <c r="BR343" s="1"/>
      <c r="BS343" s="1"/>
    </row>
    <row r="344" spans="68:71" ht="15.75" customHeight="1" x14ac:dyDescent="0.25">
      <c r="BP344" s="6"/>
      <c r="BQ344" s="7"/>
      <c r="BR344" s="1"/>
      <c r="BS344" s="1"/>
    </row>
    <row r="345" spans="68:71" ht="15.75" customHeight="1" x14ac:dyDescent="0.25">
      <c r="BP345" s="6"/>
      <c r="BQ345" s="7"/>
      <c r="BR345" s="1"/>
      <c r="BS345" s="1"/>
    </row>
    <row r="346" spans="68:71" ht="15.75" customHeight="1" x14ac:dyDescent="0.25">
      <c r="BP346" s="6"/>
      <c r="BQ346" s="7"/>
      <c r="BR346" s="1"/>
      <c r="BS346" s="1"/>
    </row>
    <row r="347" spans="68:71" ht="15.75" customHeight="1" x14ac:dyDescent="0.25">
      <c r="BP347" s="6"/>
      <c r="BQ347" s="7"/>
      <c r="BR347" s="1"/>
      <c r="BS347" s="1"/>
    </row>
    <row r="348" spans="68:71" ht="15.75" customHeight="1" x14ac:dyDescent="0.25">
      <c r="BP348" s="6"/>
      <c r="BQ348" s="7"/>
      <c r="BR348" s="1"/>
      <c r="BS348" s="1"/>
    </row>
    <row r="349" spans="68:71" ht="15.75" customHeight="1" x14ac:dyDescent="0.25">
      <c r="BP349" s="6"/>
      <c r="BQ349" s="7"/>
      <c r="BR349" s="1"/>
      <c r="BS349" s="1"/>
    </row>
    <row r="350" spans="68:71" ht="15.75" customHeight="1" x14ac:dyDescent="0.25">
      <c r="BP350" s="6"/>
      <c r="BQ350" s="7"/>
      <c r="BR350" s="1"/>
      <c r="BS350" s="1"/>
    </row>
    <row r="351" spans="68:71" ht="15.75" customHeight="1" x14ac:dyDescent="0.25">
      <c r="BP351" s="6"/>
      <c r="BQ351" s="7"/>
      <c r="BR351" s="1"/>
      <c r="BS351" s="1"/>
    </row>
    <row r="352" spans="68:71" ht="15.75" customHeight="1" x14ac:dyDescent="0.25">
      <c r="BP352" s="6"/>
      <c r="BQ352" s="7"/>
      <c r="BR352" s="1"/>
      <c r="BS352" s="1"/>
    </row>
    <row r="353" spans="68:71" ht="15.75" customHeight="1" x14ac:dyDescent="0.25">
      <c r="BP353" s="6"/>
      <c r="BQ353" s="7"/>
      <c r="BR353" s="1"/>
      <c r="BS353" s="1"/>
    </row>
    <row r="354" spans="68:71" ht="15.75" customHeight="1" x14ac:dyDescent="0.25">
      <c r="BP354" s="6"/>
      <c r="BQ354" s="7"/>
      <c r="BR354" s="1"/>
      <c r="BS354" s="1"/>
    </row>
    <row r="355" spans="68:71" ht="15.75" customHeight="1" x14ac:dyDescent="0.25">
      <c r="BP355" s="6"/>
      <c r="BQ355" s="7"/>
      <c r="BR355" s="1"/>
      <c r="BS355" s="1"/>
    </row>
    <row r="356" spans="68:71" ht="15.75" customHeight="1" x14ac:dyDescent="0.25">
      <c r="BP356" s="6"/>
      <c r="BQ356" s="7"/>
      <c r="BR356" s="1"/>
      <c r="BS356" s="1"/>
    </row>
    <row r="357" spans="68:71" ht="15.75" customHeight="1" x14ac:dyDescent="0.25">
      <c r="BP357" s="6"/>
      <c r="BQ357" s="7"/>
      <c r="BR357" s="1"/>
      <c r="BS357" s="1"/>
    </row>
    <row r="358" spans="68:71" ht="15.75" customHeight="1" x14ac:dyDescent="0.25">
      <c r="BP358" s="6"/>
      <c r="BQ358" s="7"/>
      <c r="BR358" s="1"/>
      <c r="BS358" s="1"/>
    </row>
    <row r="359" spans="68:71" ht="15.75" customHeight="1" x14ac:dyDescent="0.25">
      <c r="BP359" s="6"/>
      <c r="BQ359" s="7"/>
      <c r="BR359" s="1"/>
      <c r="BS359" s="1"/>
    </row>
    <row r="360" spans="68:71" ht="15.75" customHeight="1" x14ac:dyDescent="0.25">
      <c r="BP360" s="6"/>
      <c r="BQ360" s="7"/>
      <c r="BR360" s="1"/>
      <c r="BS360" s="1"/>
    </row>
    <row r="361" spans="68:71" ht="15.75" customHeight="1" x14ac:dyDescent="0.25">
      <c r="BP361" s="6"/>
      <c r="BQ361" s="7"/>
      <c r="BR361" s="1"/>
      <c r="BS361" s="1"/>
    </row>
    <row r="362" spans="68:71" ht="15.75" customHeight="1" x14ac:dyDescent="0.25">
      <c r="BP362" s="6"/>
      <c r="BQ362" s="7"/>
      <c r="BR362" s="1"/>
      <c r="BS362" s="1"/>
    </row>
    <row r="363" spans="68:71" ht="15.75" customHeight="1" x14ac:dyDescent="0.25">
      <c r="BP363" s="6"/>
      <c r="BQ363" s="7"/>
      <c r="BR363" s="1"/>
      <c r="BS363" s="1"/>
    </row>
    <row r="364" spans="68:71" ht="15.75" customHeight="1" x14ac:dyDescent="0.25">
      <c r="BP364" s="6"/>
      <c r="BQ364" s="7"/>
      <c r="BR364" s="1"/>
      <c r="BS364" s="1"/>
    </row>
    <row r="365" spans="68:71" ht="15.75" customHeight="1" x14ac:dyDescent="0.25">
      <c r="BP365" s="6"/>
      <c r="BQ365" s="7"/>
      <c r="BR365" s="1"/>
      <c r="BS365" s="1"/>
    </row>
    <row r="366" spans="68:71" ht="15.75" customHeight="1" x14ac:dyDescent="0.25">
      <c r="BP366" s="6"/>
      <c r="BQ366" s="7"/>
      <c r="BR366" s="1"/>
      <c r="BS366" s="1"/>
    </row>
    <row r="367" spans="68:71" ht="15.75" customHeight="1" x14ac:dyDescent="0.25">
      <c r="BP367" s="6"/>
      <c r="BQ367" s="7"/>
      <c r="BR367" s="1"/>
      <c r="BS367" s="1"/>
    </row>
    <row r="368" spans="68:71" ht="15.75" customHeight="1" x14ac:dyDescent="0.25">
      <c r="BP368" s="6"/>
      <c r="BQ368" s="7"/>
      <c r="BR368" s="1"/>
      <c r="BS368" s="1"/>
    </row>
    <row r="369" spans="68:71" ht="15.75" customHeight="1" x14ac:dyDescent="0.25">
      <c r="BP369" s="6"/>
      <c r="BQ369" s="7"/>
      <c r="BR369" s="1"/>
      <c r="BS369" s="1"/>
    </row>
    <row r="370" spans="68:71" ht="15.75" customHeight="1" x14ac:dyDescent="0.25">
      <c r="BP370" s="6"/>
      <c r="BQ370" s="7"/>
      <c r="BR370" s="1"/>
      <c r="BS370" s="1"/>
    </row>
    <row r="371" spans="68:71" ht="15.75" customHeight="1" x14ac:dyDescent="0.25">
      <c r="BP371" s="6"/>
      <c r="BQ371" s="7"/>
      <c r="BR371" s="1"/>
      <c r="BS371" s="1"/>
    </row>
    <row r="372" spans="68:71" ht="15.75" customHeight="1" x14ac:dyDescent="0.25">
      <c r="BP372" s="6"/>
      <c r="BQ372" s="7"/>
      <c r="BR372" s="1"/>
      <c r="BS372" s="1"/>
    </row>
    <row r="373" spans="68:71" ht="15.75" customHeight="1" x14ac:dyDescent="0.25">
      <c r="BP373" s="6"/>
      <c r="BQ373" s="7"/>
      <c r="BR373" s="1"/>
      <c r="BS373" s="1"/>
    </row>
    <row r="374" spans="68:71" ht="15.75" customHeight="1" x14ac:dyDescent="0.25">
      <c r="BP374" s="6"/>
      <c r="BQ374" s="7"/>
      <c r="BR374" s="1"/>
      <c r="BS374" s="1"/>
    </row>
    <row r="375" spans="68:71" ht="15.75" customHeight="1" x14ac:dyDescent="0.25">
      <c r="BP375" s="6"/>
      <c r="BQ375" s="7"/>
      <c r="BR375" s="1"/>
      <c r="BS375" s="1"/>
    </row>
    <row r="376" spans="68:71" ht="15.75" customHeight="1" x14ac:dyDescent="0.25">
      <c r="BP376" s="6"/>
      <c r="BQ376" s="7"/>
      <c r="BR376" s="1"/>
      <c r="BS376" s="1"/>
    </row>
    <row r="377" spans="68:71" ht="15.75" customHeight="1" x14ac:dyDescent="0.25">
      <c r="BP377" s="6"/>
      <c r="BQ377" s="7"/>
      <c r="BR377" s="1"/>
      <c r="BS377" s="1"/>
    </row>
    <row r="378" spans="68:71" ht="15.75" customHeight="1" x14ac:dyDescent="0.25">
      <c r="BP378" s="6"/>
      <c r="BQ378" s="7"/>
      <c r="BR378" s="1"/>
      <c r="BS378" s="1"/>
    </row>
    <row r="379" spans="68:71" ht="15.75" customHeight="1" x14ac:dyDescent="0.25">
      <c r="BP379" s="6"/>
      <c r="BQ379" s="7"/>
      <c r="BR379" s="1"/>
      <c r="BS379" s="1"/>
    </row>
    <row r="380" spans="68:71" ht="15.75" customHeight="1" x14ac:dyDescent="0.25">
      <c r="BP380" s="6"/>
      <c r="BQ380" s="7"/>
      <c r="BR380" s="1"/>
      <c r="BS380" s="1"/>
    </row>
    <row r="381" spans="68:71" ht="15.75" customHeight="1" x14ac:dyDescent="0.25">
      <c r="BP381" s="6"/>
      <c r="BQ381" s="7"/>
      <c r="BR381" s="1"/>
      <c r="BS381" s="1"/>
    </row>
    <row r="382" spans="68:71" ht="15.75" customHeight="1" x14ac:dyDescent="0.25">
      <c r="BP382" s="6"/>
      <c r="BQ382" s="7"/>
      <c r="BR382" s="1"/>
      <c r="BS382" s="1"/>
    </row>
    <row r="383" spans="68:71" ht="15.75" customHeight="1" x14ac:dyDescent="0.25">
      <c r="BP383" s="6"/>
      <c r="BQ383" s="7"/>
      <c r="BR383" s="1"/>
      <c r="BS383" s="1"/>
    </row>
    <row r="384" spans="68:71" ht="15.75" customHeight="1" x14ac:dyDescent="0.25">
      <c r="BP384" s="6"/>
      <c r="BQ384" s="7"/>
      <c r="BR384" s="1"/>
      <c r="BS384" s="1"/>
    </row>
    <row r="385" spans="68:71" ht="15.75" customHeight="1" x14ac:dyDescent="0.25">
      <c r="BP385" s="6"/>
      <c r="BQ385" s="7"/>
      <c r="BR385" s="1"/>
      <c r="BS385" s="1"/>
    </row>
    <row r="386" spans="68:71" ht="15.75" customHeight="1" x14ac:dyDescent="0.25">
      <c r="BP386" s="6"/>
      <c r="BQ386" s="7"/>
      <c r="BR386" s="1"/>
      <c r="BS386" s="1"/>
    </row>
    <row r="387" spans="68:71" ht="15.75" customHeight="1" x14ac:dyDescent="0.25">
      <c r="BP387" s="6"/>
      <c r="BQ387" s="7"/>
      <c r="BR387" s="1"/>
      <c r="BS387" s="1"/>
    </row>
    <row r="388" spans="68:71" ht="15.75" customHeight="1" x14ac:dyDescent="0.25">
      <c r="BP388" s="6"/>
      <c r="BQ388" s="7"/>
      <c r="BR388" s="1"/>
      <c r="BS388" s="1"/>
    </row>
    <row r="389" spans="68:71" ht="15.75" customHeight="1" x14ac:dyDescent="0.25">
      <c r="BP389" s="6"/>
      <c r="BQ389" s="7"/>
      <c r="BR389" s="1"/>
      <c r="BS389" s="1"/>
    </row>
    <row r="390" spans="68:71" ht="15.75" customHeight="1" x14ac:dyDescent="0.25">
      <c r="BP390" s="6"/>
      <c r="BQ390" s="7"/>
      <c r="BR390" s="1"/>
      <c r="BS390" s="1"/>
    </row>
    <row r="391" spans="68:71" ht="15.75" customHeight="1" x14ac:dyDescent="0.25">
      <c r="BP391" s="6"/>
      <c r="BQ391" s="7"/>
      <c r="BR391" s="1"/>
      <c r="BS391" s="1"/>
    </row>
    <row r="392" spans="68:71" ht="15.75" customHeight="1" x14ac:dyDescent="0.25">
      <c r="BP392" s="6"/>
      <c r="BQ392" s="7"/>
      <c r="BR392" s="1"/>
      <c r="BS392" s="1"/>
    </row>
    <row r="393" spans="68:71" ht="15.75" customHeight="1" x14ac:dyDescent="0.25">
      <c r="BP393" s="6"/>
      <c r="BQ393" s="7"/>
      <c r="BR393" s="1"/>
      <c r="BS393" s="1"/>
    </row>
    <row r="394" spans="68:71" ht="15.75" customHeight="1" x14ac:dyDescent="0.25">
      <c r="BP394" s="6"/>
      <c r="BQ394" s="7"/>
      <c r="BR394" s="1"/>
      <c r="BS394" s="1"/>
    </row>
    <row r="395" spans="68:71" ht="15.75" customHeight="1" x14ac:dyDescent="0.25">
      <c r="BP395" s="6"/>
      <c r="BQ395" s="7"/>
      <c r="BR395" s="1"/>
      <c r="BS395" s="1"/>
    </row>
    <row r="396" spans="68:71" ht="15.75" customHeight="1" x14ac:dyDescent="0.25">
      <c r="BP396" s="6"/>
      <c r="BQ396" s="7"/>
      <c r="BR396" s="1"/>
      <c r="BS396" s="1"/>
    </row>
    <row r="397" spans="68:71" ht="15.75" customHeight="1" x14ac:dyDescent="0.25">
      <c r="BP397" s="6"/>
      <c r="BQ397" s="7"/>
      <c r="BR397" s="1"/>
      <c r="BS397" s="1"/>
    </row>
    <row r="398" spans="68:71" ht="15.75" customHeight="1" x14ac:dyDescent="0.25">
      <c r="BP398" s="6"/>
      <c r="BQ398" s="7"/>
      <c r="BR398" s="1"/>
      <c r="BS398" s="1"/>
    </row>
    <row r="399" spans="68:71" ht="15.75" customHeight="1" x14ac:dyDescent="0.25">
      <c r="BP399" s="6"/>
      <c r="BQ399" s="7"/>
      <c r="BR399" s="1"/>
      <c r="BS399" s="1"/>
    </row>
    <row r="400" spans="68:71" ht="15.75" customHeight="1" x14ac:dyDescent="0.25">
      <c r="BP400" s="6"/>
      <c r="BQ400" s="7"/>
      <c r="BR400" s="1"/>
      <c r="BS400" s="1"/>
    </row>
    <row r="401" spans="68:71" ht="15.75" customHeight="1" x14ac:dyDescent="0.25">
      <c r="BP401" s="6"/>
      <c r="BQ401" s="7"/>
      <c r="BR401" s="1"/>
      <c r="BS401" s="1"/>
    </row>
    <row r="402" spans="68:71" ht="15.75" customHeight="1" x14ac:dyDescent="0.25">
      <c r="BP402" s="6"/>
      <c r="BQ402" s="7"/>
      <c r="BR402" s="1"/>
      <c r="BS402" s="1"/>
    </row>
    <row r="403" spans="68:71" ht="15.75" customHeight="1" x14ac:dyDescent="0.25">
      <c r="BP403" s="6"/>
      <c r="BQ403" s="7"/>
      <c r="BR403" s="1"/>
      <c r="BS403" s="1"/>
    </row>
    <row r="404" spans="68:71" ht="15.75" customHeight="1" x14ac:dyDescent="0.25">
      <c r="BP404" s="6"/>
      <c r="BQ404" s="7"/>
      <c r="BR404" s="1"/>
      <c r="BS404" s="1"/>
    </row>
    <row r="405" spans="68:71" ht="15.75" customHeight="1" x14ac:dyDescent="0.25">
      <c r="BP405" s="6"/>
      <c r="BQ405" s="7"/>
      <c r="BR405" s="1"/>
      <c r="BS405" s="1"/>
    </row>
    <row r="406" spans="68:71" ht="15.75" customHeight="1" x14ac:dyDescent="0.25">
      <c r="BP406" s="6"/>
      <c r="BQ406" s="7"/>
      <c r="BR406" s="1"/>
      <c r="BS406" s="1"/>
    </row>
    <row r="407" spans="68:71" ht="15.75" customHeight="1" x14ac:dyDescent="0.25">
      <c r="BP407" s="6"/>
      <c r="BQ407" s="7"/>
      <c r="BR407" s="1"/>
      <c r="BS407" s="1"/>
    </row>
    <row r="408" spans="68:71" ht="15.75" customHeight="1" x14ac:dyDescent="0.25">
      <c r="BP408" s="6"/>
      <c r="BQ408" s="7"/>
      <c r="BR408" s="1"/>
      <c r="BS408" s="1"/>
    </row>
    <row r="409" spans="68:71" ht="15.75" customHeight="1" x14ac:dyDescent="0.25">
      <c r="BP409" s="6"/>
      <c r="BQ409" s="7"/>
      <c r="BR409" s="1"/>
      <c r="BS409" s="1"/>
    </row>
    <row r="410" spans="68:71" ht="15.75" customHeight="1" x14ac:dyDescent="0.25">
      <c r="BP410" s="6"/>
      <c r="BQ410" s="7"/>
      <c r="BR410" s="1"/>
      <c r="BS410" s="1"/>
    </row>
    <row r="411" spans="68:71" ht="15.75" customHeight="1" x14ac:dyDescent="0.25">
      <c r="BP411" s="6"/>
      <c r="BQ411" s="7"/>
      <c r="BR411" s="1"/>
      <c r="BS411" s="1"/>
    </row>
    <row r="412" spans="68:71" ht="15.75" customHeight="1" x14ac:dyDescent="0.25">
      <c r="BP412" s="6"/>
      <c r="BQ412" s="7"/>
      <c r="BR412" s="1"/>
      <c r="BS412" s="1"/>
    </row>
    <row r="413" spans="68:71" ht="15.75" customHeight="1" x14ac:dyDescent="0.25">
      <c r="BP413" s="6"/>
      <c r="BQ413" s="7"/>
      <c r="BR413" s="1"/>
      <c r="BS413" s="1"/>
    </row>
    <row r="414" spans="68:71" ht="15.75" customHeight="1" x14ac:dyDescent="0.25">
      <c r="BP414" s="6"/>
      <c r="BQ414" s="7"/>
      <c r="BR414" s="1"/>
      <c r="BS414" s="1"/>
    </row>
    <row r="415" spans="68:71" ht="15.75" customHeight="1" x14ac:dyDescent="0.25">
      <c r="BP415" s="6"/>
      <c r="BQ415" s="7"/>
      <c r="BR415" s="1"/>
      <c r="BS415" s="1"/>
    </row>
    <row r="416" spans="68:71" ht="15.75" customHeight="1" x14ac:dyDescent="0.25">
      <c r="BP416" s="6"/>
      <c r="BQ416" s="7"/>
      <c r="BR416" s="1"/>
      <c r="BS416" s="1"/>
    </row>
    <row r="417" spans="68:71" ht="15.75" customHeight="1" x14ac:dyDescent="0.25">
      <c r="BP417" s="6"/>
      <c r="BQ417" s="7"/>
      <c r="BR417" s="1"/>
      <c r="BS417" s="1"/>
    </row>
    <row r="418" spans="68:71" ht="15.75" customHeight="1" x14ac:dyDescent="0.25">
      <c r="BP418" s="6"/>
      <c r="BQ418" s="7"/>
      <c r="BR418" s="1"/>
      <c r="BS418" s="1"/>
    </row>
    <row r="419" spans="68:71" ht="15.75" customHeight="1" x14ac:dyDescent="0.25">
      <c r="BP419" s="6"/>
      <c r="BQ419" s="7"/>
      <c r="BR419" s="1"/>
      <c r="BS419" s="1"/>
    </row>
    <row r="420" spans="68:71" ht="15.75" customHeight="1" x14ac:dyDescent="0.25">
      <c r="BP420" s="6"/>
      <c r="BQ420" s="7"/>
      <c r="BR420" s="1"/>
      <c r="BS420" s="1"/>
    </row>
    <row r="421" spans="68:71" ht="15.75" customHeight="1" x14ac:dyDescent="0.25">
      <c r="BP421" s="6"/>
      <c r="BQ421" s="7"/>
      <c r="BR421" s="1"/>
      <c r="BS421" s="1"/>
    </row>
    <row r="422" spans="68:71" ht="15.75" customHeight="1" x14ac:dyDescent="0.25">
      <c r="BP422" s="6"/>
      <c r="BQ422" s="7"/>
      <c r="BR422" s="1"/>
      <c r="BS422" s="1"/>
    </row>
    <row r="423" spans="68:71" ht="15.75" customHeight="1" x14ac:dyDescent="0.25">
      <c r="BP423" s="6"/>
      <c r="BQ423" s="7"/>
      <c r="BR423" s="1"/>
      <c r="BS423" s="1"/>
    </row>
    <row r="424" spans="68:71" ht="15.75" customHeight="1" x14ac:dyDescent="0.25">
      <c r="BP424" s="6"/>
      <c r="BQ424" s="7"/>
      <c r="BR424" s="1"/>
      <c r="BS424" s="1"/>
    </row>
    <row r="425" spans="68:71" ht="15.75" customHeight="1" x14ac:dyDescent="0.25">
      <c r="BP425" s="6"/>
      <c r="BQ425" s="7"/>
      <c r="BR425" s="1"/>
      <c r="BS425" s="1"/>
    </row>
    <row r="426" spans="68:71" ht="15.75" customHeight="1" x14ac:dyDescent="0.25">
      <c r="BP426" s="6"/>
      <c r="BQ426" s="7"/>
      <c r="BR426" s="1"/>
      <c r="BS426" s="1"/>
    </row>
    <row r="427" spans="68:71" ht="15.75" customHeight="1" x14ac:dyDescent="0.25">
      <c r="BP427" s="6"/>
      <c r="BQ427" s="7"/>
      <c r="BR427" s="1"/>
      <c r="BS427" s="1"/>
    </row>
    <row r="428" spans="68:71" ht="15.75" customHeight="1" x14ac:dyDescent="0.25">
      <c r="BP428" s="6"/>
      <c r="BQ428" s="7"/>
      <c r="BR428" s="1"/>
      <c r="BS428" s="1"/>
    </row>
    <row r="429" spans="68:71" ht="15.75" customHeight="1" x14ac:dyDescent="0.25">
      <c r="BP429" s="6"/>
      <c r="BQ429" s="7"/>
      <c r="BR429" s="1"/>
      <c r="BS429" s="1"/>
    </row>
    <row r="430" spans="68:71" ht="15.75" customHeight="1" x14ac:dyDescent="0.25">
      <c r="BP430" s="6"/>
      <c r="BQ430" s="7"/>
      <c r="BR430" s="1"/>
      <c r="BS430" s="1"/>
    </row>
    <row r="431" spans="68:71" ht="15.75" customHeight="1" x14ac:dyDescent="0.25">
      <c r="BP431" s="6"/>
      <c r="BQ431" s="7"/>
      <c r="BR431" s="1"/>
      <c r="BS431" s="1"/>
    </row>
    <row r="432" spans="68:71" ht="15.75" customHeight="1" x14ac:dyDescent="0.25">
      <c r="BP432" s="6"/>
      <c r="BQ432" s="7"/>
      <c r="BR432" s="1"/>
      <c r="BS432" s="1"/>
    </row>
    <row r="433" spans="68:71" ht="15.75" customHeight="1" x14ac:dyDescent="0.25">
      <c r="BP433" s="6"/>
      <c r="BQ433" s="7"/>
      <c r="BR433" s="1"/>
      <c r="BS433" s="1"/>
    </row>
    <row r="434" spans="68:71" ht="15.75" customHeight="1" x14ac:dyDescent="0.25">
      <c r="BP434" s="6"/>
      <c r="BQ434" s="7"/>
      <c r="BR434" s="1"/>
      <c r="BS434" s="1"/>
    </row>
    <row r="435" spans="68:71" ht="15.75" customHeight="1" x14ac:dyDescent="0.25">
      <c r="BP435" s="6"/>
      <c r="BQ435" s="7"/>
      <c r="BR435" s="1"/>
      <c r="BS435" s="1"/>
    </row>
    <row r="436" spans="68:71" ht="15.75" customHeight="1" x14ac:dyDescent="0.25">
      <c r="BP436" s="6"/>
      <c r="BQ436" s="7"/>
      <c r="BR436" s="1"/>
      <c r="BS436" s="1"/>
    </row>
    <row r="437" spans="68:71" ht="15.75" customHeight="1" x14ac:dyDescent="0.25">
      <c r="BP437" s="6"/>
      <c r="BQ437" s="7"/>
      <c r="BR437" s="1"/>
      <c r="BS437" s="1"/>
    </row>
    <row r="438" spans="68:71" ht="15.75" customHeight="1" x14ac:dyDescent="0.25">
      <c r="BP438" s="6"/>
      <c r="BQ438" s="7"/>
      <c r="BR438" s="1"/>
      <c r="BS438" s="1"/>
    </row>
    <row r="439" spans="68:71" ht="15.75" customHeight="1" x14ac:dyDescent="0.25">
      <c r="BP439" s="6"/>
      <c r="BQ439" s="7"/>
      <c r="BR439" s="1"/>
      <c r="BS439" s="1"/>
    </row>
    <row r="440" spans="68:71" ht="15.75" customHeight="1" x14ac:dyDescent="0.25">
      <c r="BP440" s="6"/>
      <c r="BQ440" s="7"/>
      <c r="BR440" s="1"/>
      <c r="BS440" s="1"/>
    </row>
    <row r="441" spans="68:71" ht="15.75" customHeight="1" x14ac:dyDescent="0.25">
      <c r="BP441" s="6"/>
      <c r="BQ441" s="7"/>
      <c r="BR441" s="1"/>
      <c r="BS441" s="1"/>
    </row>
    <row r="442" spans="68:71" ht="15.75" customHeight="1" x14ac:dyDescent="0.25">
      <c r="BP442" s="6"/>
      <c r="BQ442" s="7"/>
      <c r="BR442" s="1"/>
      <c r="BS442" s="1"/>
    </row>
    <row r="443" spans="68:71" ht="15.75" customHeight="1" x14ac:dyDescent="0.25">
      <c r="BP443" s="6"/>
      <c r="BQ443" s="7"/>
      <c r="BR443" s="1"/>
      <c r="BS443" s="1"/>
    </row>
    <row r="444" spans="68:71" ht="15.75" customHeight="1" x14ac:dyDescent="0.25">
      <c r="BP444" s="6"/>
      <c r="BQ444" s="7"/>
      <c r="BR444" s="1"/>
      <c r="BS444" s="1"/>
    </row>
    <row r="445" spans="68:71" ht="15.75" customHeight="1" x14ac:dyDescent="0.25">
      <c r="BP445" s="6"/>
      <c r="BQ445" s="7"/>
      <c r="BR445" s="1"/>
      <c r="BS445" s="1"/>
    </row>
    <row r="446" spans="68:71" ht="15.75" customHeight="1" x14ac:dyDescent="0.25">
      <c r="BP446" s="6"/>
      <c r="BQ446" s="7"/>
      <c r="BR446" s="1"/>
      <c r="BS446" s="1"/>
    </row>
    <row r="447" spans="68:71" ht="15.75" customHeight="1" x14ac:dyDescent="0.25">
      <c r="BP447" s="6"/>
      <c r="BQ447" s="7"/>
      <c r="BR447" s="1"/>
      <c r="BS447" s="1"/>
    </row>
    <row r="448" spans="68:71" ht="15.75" customHeight="1" x14ac:dyDescent="0.25">
      <c r="BP448" s="6"/>
      <c r="BQ448" s="7"/>
      <c r="BR448" s="1"/>
      <c r="BS448" s="1"/>
    </row>
    <row r="449" spans="68:71" ht="15.75" customHeight="1" x14ac:dyDescent="0.25">
      <c r="BP449" s="6"/>
      <c r="BQ449" s="7"/>
      <c r="BR449" s="1"/>
      <c r="BS449" s="1"/>
    </row>
    <row r="450" spans="68:71" ht="15.75" customHeight="1" x14ac:dyDescent="0.25">
      <c r="BP450" s="6"/>
      <c r="BQ450" s="7"/>
      <c r="BR450" s="1"/>
      <c r="BS450" s="1"/>
    </row>
    <row r="451" spans="68:71" ht="15.75" customHeight="1" x14ac:dyDescent="0.25">
      <c r="BP451" s="6"/>
      <c r="BQ451" s="7"/>
      <c r="BR451" s="1"/>
      <c r="BS451" s="1"/>
    </row>
    <row r="452" spans="68:71" ht="15.75" customHeight="1" x14ac:dyDescent="0.25">
      <c r="BP452" s="6"/>
      <c r="BQ452" s="7"/>
      <c r="BR452" s="1"/>
      <c r="BS452" s="1"/>
    </row>
    <row r="453" spans="68:71" ht="15.75" customHeight="1" x14ac:dyDescent="0.25">
      <c r="BP453" s="6"/>
      <c r="BQ453" s="7"/>
      <c r="BR453" s="1"/>
      <c r="BS453" s="1"/>
    </row>
    <row r="454" spans="68:71" ht="15.75" customHeight="1" x14ac:dyDescent="0.25">
      <c r="BP454" s="6"/>
      <c r="BQ454" s="7"/>
      <c r="BR454" s="1"/>
      <c r="BS454" s="1"/>
    </row>
    <row r="455" spans="68:71" ht="15.75" customHeight="1" x14ac:dyDescent="0.25">
      <c r="BP455" s="6"/>
      <c r="BQ455" s="7"/>
      <c r="BR455" s="1"/>
      <c r="BS455" s="1"/>
    </row>
    <row r="456" spans="68:71" ht="15.75" customHeight="1" x14ac:dyDescent="0.25">
      <c r="BP456" s="6"/>
      <c r="BQ456" s="7"/>
      <c r="BR456" s="1"/>
      <c r="BS456" s="1"/>
    </row>
    <row r="457" spans="68:71" ht="15.75" customHeight="1" x14ac:dyDescent="0.25">
      <c r="BP457" s="6"/>
      <c r="BQ457" s="7"/>
      <c r="BR457" s="1"/>
      <c r="BS457" s="1"/>
    </row>
    <row r="458" spans="68:71" ht="15.75" customHeight="1" x14ac:dyDescent="0.25">
      <c r="BP458" s="6"/>
      <c r="BQ458" s="7"/>
      <c r="BR458" s="1"/>
      <c r="BS458" s="1"/>
    </row>
    <row r="459" spans="68:71" ht="15.75" customHeight="1" x14ac:dyDescent="0.25">
      <c r="BP459" s="6"/>
      <c r="BQ459" s="7"/>
      <c r="BR459" s="1"/>
      <c r="BS459" s="1"/>
    </row>
    <row r="460" spans="68:71" ht="15.75" customHeight="1" x14ac:dyDescent="0.25">
      <c r="BP460" s="6"/>
      <c r="BQ460" s="7"/>
      <c r="BR460" s="1"/>
      <c r="BS460" s="1"/>
    </row>
    <row r="461" spans="68:71" ht="15.75" customHeight="1" x14ac:dyDescent="0.25">
      <c r="BP461" s="6"/>
      <c r="BQ461" s="7"/>
      <c r="BR461" s="1"/>
      <c r="BS461" s="1"/>
    </row>
    <row r="462" spans="68:71" ht="15.75" customHeight="1" x14ac:dyDescent="0.25">
      <c r="BP462" s="6"/>
      <c r="BQ462" s="7"/>
      <c r="BR462" s="1"/>
      <c r="BS462" s="1"/>
    </row>
    <row r="463" spans="68:71" ht="15.75" customHeight="1" x14ac:dyDescent="0.25">
      <c r="BP463" s="6"/>
      <c r="BQ463" s="7"/>
      <c r="BR463" s="1"/>
      <c r="BS463" s="1"/>
    </row>
    <row r="464" spans="68:71" ht="15.75" customHeight="1" x14ac:dyDescent="0.25">
      <c r="BP464" s="6"/>
      <c r="BQ464" s="7"/>
      <c r="BR464" s="1"/>
      <c r="BS464" s="1"/>
    </row>
    <row r="465" spans="68:71" ht="15.75" customHeight="1" x14ac:dyDescent="0.25">
      <c r="BP465" s="6"/>
      <c r="BQ465" s="7"/>
      <c r="BR465" s="1"/>
      <c r="BS465" s="1"/>
    </row>
    <row r="466" spans="68:71" ht="15.75" customHeight="1" x14ac:dyDescent="0.25">
      <c r="BP466" s="6"/>
      <c r="BQ466" s="7"/>
      <c r="BR466" s="1"/>
      <c r="BS466" s="1"/>
    </row>
    <row r="467" spans="68:71" ht="15.75" customHeight="1" x14ac:dyDescent="0.25">
      <c r="BP467" s="6"/>
      <c r="BQ467" s="7"/>
      <c r="BR467" s="1"/>
      <c r="BS467" s="1"/>
    </row>
    <row r="468" spans="68:71" ht="15.75" customHeight="1" x14ac:dyDescent="0.25">
      <c r="BP468" s="6"/>
      <c r="BQ468" s="7"/>
      <c r="BR468" s="1"/>
      <c r="BS468" s="1"/>
    </row>
    <row r="469" spans="68:71" ht="15.75" customHeight="1" x14ac:dyDescent="0.25">
      <c r="BP469" s="6"/>
      <c r="BQ469" s="7"/>
      <c r="BR469" s="1"/>
      <c r="BS469" s="1"/>
    </row>
    <row r="470" spans="68:71" ht="15.75" customHeight="1" x14ac:dyDescent="0.25">
      <c r="BP470" s="6"/>
      <c r="BQ470" s="7"/>
      <c r="BR470" s="1"/>
      <c r="BS470" s="1"/>
    </row>
    <row r="471" spans="68:71" ht="15.75" customHeight="1" x14ac:dyDescent="0.25">
      <c r="BP471" s="6"/>
      <c r="BQ471" s="7"/>
      <c r="BR471" s="1"/>
      <c r="BS471" s="1"/>
    </row>
    <row r="472" spans="68:71" ht="15.75" customHeight="1" x14ac:dyDescent="0.25">
      <c r="BP472" s="6"/>
      <c r="BQ472" s="7"/>
      <c r="BR472" s="1"/>
      <c r="BS472" s="1"/>
    </row>
    <row r="473" spans="68:71" ht="15.75" customHeight="1" x14ac:dyDescent="0.25">
      <c r="BP473" s="6"/>
      <c r="BQ473" s="7"/>
      <c r="BR473" s="1"/>
      <c r="BS473" s="1"/>
    </row>
    <row r="474" spans="68:71" ht="15.75" customHeight="1" x14ac:dyDescent="0.25">
      <c r="BP474" s="6"/>
      <c r="BQ474" s="7"/>
      <c r="BR474" s="1"/>
      <c r="BS474" s="1"/>
    </row>
    <row r="475" spans="68:71" ht="15.75" customHeight="1" x14ac:dyDescent="0.25">
      <c r="BP475" s="6"/>
      <c r="BQ475" s="7"/>
      <c r="BR475" s="1"/>
      <c r="BS475" s="1"/>
    </row>
    <row r="476" spans="68:71" ht="15.75" customHeight="1" x14ac:dyDescent="0.25">
      <c r="BP476" s="6"/>
      <c r="BQ476" s="7"/>
      <c r="BR476" s="1"/>
      <c r="BS476" s="1"/>
    </row>
    <row r="477" spans="68:71" ht="15.75" customHeight="1" x14ac:dyDescent="0.25">
      <c r="BP477" s="6"/>
      <c r="BQ477" s="7"/>
      <c r="BR477" s="1"/>
      <c r="BS477" s="1"/>
    </row>
    <row r="478" spans="68:71" ht="15.75" customHeight="1" x14ac:dyDescent="0.25">
      <c r="BP478" s="6"/>
      <c r="BQ478" s="7"/>
      <c r="BR478" s="1"/>
      <c r="BS478" s="1"/>
    </row>
    <row r="479" spans="68:71" ht="15.75" customHeight="1" x14ac:dyDescent="0.25">
      <c r="BP479" s="6"/>
      <c r="BQ479" s="7"/>
      <c r="BR479" s="1"/>
      <c r="BS479" s="1"/>
    </row>
    <row r="480" spans="68:71" ht="15.75" customHeight="1" x14ac:dyDescent="0.25">
      <c r="BP480" s="6"/>
      <c r="BQ480" s="7"/>
      <c r="BR480" s="1"/>
      <c r="BS480" s="1"/>
    </row>
    <row r="481" spans="68:71" ht="15.75" customHeight="1" x14ac:dyDescent="0.25">
      <c r="BP481" s="6"/>
      <c r="BQ481" s="7"/>
      <c r="BR481" s="1"/>
      <c r="BS481" s="1"/>
    </row>
    <row r="482" spans="68:71" ht="15.75" customHeight="1" x14ac:dyDescent="0.25">
      <c r="BP482" s="6"/>
      <c r="BQ482" s="7"/>
      <c r="BR482" s="1"/>
      <c r="BS482" s="1"/>
    </row>
    <row r="483" spans="68:71" ht="15.75" customHeight="1" x14ac:dyDescent="0.25">
      <c r="BP483" s="6"/>
      <c r="BQ483" s="7"/>
      <c r="BR483" s="1"/>
      <c r="BS483" s="1"/>
    </row>
    <row r="484" spans="68:71" ht="15.75" customHeight="1" x14ac:dyDescent="0.25">
      <c r="BP484" s="6"/>
      <c r="BQ484" s="7"/>
      <c r="BR484" s="1"/>
      <c r="BS484" s="1"/>
    </row>
    <row r="485" spans="68:71" ht="15.75" customHeight="1" x14ac:dyDescent="0.25">
      <c r="BP485" s="6"/>
      <c r="BQ485" s="7"/>
      <c r="BR485" s="1"/>
      <c r="BS485" s="1"/>
    </row>
    <row r="486" spans="68:71" ht="15.75" customHeight="1" x14ac:dyDescent="0.25">
      <c r="BP486" s="6"/>
      <c r="BQ486" s="7"/>
      <c r="BR486" s="1"/>
      <c r="BS486" s="1"/>
    </row>
    <row r="487" spans="68:71" ht="15.75" customHeight="1" x14ac:dyDescent="0.25">
      <c r="BP487" s="6"/>
      <c r="BQ487" s="7"/>
      <c r="BR487" s="1"/>
      <c r="BS487" s="1"/>
    </row>
    <row r="488" spans="68:71" ht="15.75" customHeight="1" x14ac:dyDescent="0.25">
      <c r="BP488" s="6"/>
      <c r="BQ488" s="7"/>
      <c r="BR488" s="1"/>
      <c r="BS488" s="1"/>
    </row>
    <row r="489" spans="68:71" ht="15.75" customHeight="1" x14ac:dyDescent="0.25">
      <c r="BP489" s="6"/>
      <c r="BQ489" s="7"/>
      <c r="BR489" s="1"/>
      <c r="BS489" s="1"/>
    </row>
    <row r="490" spans="68:71" ht="15.75" customHeight="1" x14ac:dyDescent="0.25">
      <c r="BP490" s="6"/>
      <c r="BQ490" s="7"/>
      <c r="BR490" s="1"/>
      <c r="BS490" s="1"/>
    </row>
    <row r="491" spans="68:71" ht="15.75" customHeight="1" x14ac:dyDescent="0.25">
      <c r="BP491" s="6"/>
      <c r="BQ491" s="7"/>
      <c r="BR491" s="1"/>
      <c r="BS491" s="1"/>
    </row>
    <row r="492" spans="68:71" ht="15.75" customHeight="1" x14ac:dyDescent="0.25">
      <c r="BP492" s="6"/>
      <c r="BQ492" s="7"/>
      <c r="BR492" s="1"/>
      <c r="BS492" s="1"/>
    </row>
    <row r="493" spans="68:71" ht="15.75" customHeight="1" x14ac:dyDescent="0.25">
      <c r="BP493" s="6"/>
      <c r="BQ493" s="7"/>
      <c r="BR493" s="1"/>
      <c r="BS493" s="1"/>
    </row>
    <row r="494" spans="68:71" ht="15.75" customHeight="1" x14ac:dyDescent="0.25">
      <c r="BP494" s="6"/>
      <c r="BQ494" s="7"/>
      <c r="BR494" s="1"/>
      <c r="BS494" s="1"/>
    </row>
    <row r="495" spans="68:71" ht="15.75" customHeight="1" x14ac:dyDescent="0.25">
      <c r="BP495" s="6"/>
      <c r="BQ495" s="7"/>
      <c r="BR495" s="1"/>
      <c r="BS495" s="1"/>
    </row>
    <row r="496" spans="68:71" ht="15.75" customHeight="1" x14ac:dyDescent="0.25">
      <c r="BP496" s="6"/>
      <c r="BQ496" s="7"/>
      <c r="BR496" s="1"/>
      <c r="BS496" s="1"/>
    </row>
    <row r="497" spans="68:71" ht="15.75" customHeight="1" x14ac:dyDescent="0.25">
      <c r="BP497" s="6"/>
      <c r="BQ497" s="7"/>
      <c r="BR497" s="1"/>
      <c r="BS497" s="1"/>
    </row>
    <row r="498" spans="68:71" ht="15.75" customHeight="1" x14ac:dyDescent="0.25">
      <c r="BP498" s="6"/>
      <c r="BQ498" s="7"/>
      <c r="BR498" s="1"/>
      <c r="BS498" s="1"/>
    </row>
    <row r="499" spans="68:71" ht="15.75" customHeight="1" x14ac:dyDescent="0.25">
      <c r="BP499" s="6"/>
      <c r="BQ499" s="7"/>
      <c r="BR499" s="1"/>
      <c r="BS499" s="1"/>
    </row>
    <row r="500" spans="68:71" ht="15.75" customHeight="1" x14ac:dyDescent="0.25">
      <c r="BP500" s="6"/>
      <c r="BQ500" s="7"/>
      <c r="BR500" s="1"/>
      <c r="BS500" s="1"/>
    </row>
    <row r="501" spans="68:71" ht="15.75" customHeight="1" x14ac:dyDescent="0.25">
      <c r="BP501" s="6"/>
      <c r="BQ501" s="7"/>
      <c r="BR501" s="1"/>
      <c r="BS501" s="1"/>
    </row>
    <row r="502" spans="68:71" ht="15.75" customHeight="1" x14ac:dyDescent="0.25">
      <c r="BP502" s="6"/>
      <c r="BQ502" s="7"/>
      <c r="BR502" s="1"/>
      <c r="BS502" s="1"/>
    </row>
    <row r="503" spans="68:71" ht="15.75" customHeight="1" x14ac:dyDescent="0.25">
      <c r="BP503" s="6"/>
      <c r="BQ503" s="7"/>
      <c r="BR503" s="1"/>
      <c r="BS503" s="1"/>
    </row>
    <row r="504" spans="68:71" ht="15.75" customHeight="1" x14ac:dyDescent="0.25">
      <c r="BP504" s="6"/>
      <c r="BQ504" s="7"/>
      <c r="BR504" s="1"/>
      <c r="BS504" s="1"/>
    </row>
    <row r="505" spans="68:71" ht="15.75" customHeight="1" x14ac:dyDescent="0.25">
      <c r="BP505" s="6"/>
      <c r="BQ505" s="7"/>
      <c r="BR505" s="1"/>
      <c r="BS505" s="1"/>
    </row>
    <row r="506" spans="68:71" ht="15.75" customHeight="1" x14ac:dyDescent="0.25">
      <c r="BP506" s="6"/>
      <c r="BQ506" s="7"/>
      <c r="BR506" s="1"/>
      <c r="BS506" s="1"/>
    </row>
    <row r="507" spans="68:71" ht="15.75" customHeight="1" x14ac:dyDescent="0.25">
      <c r="BP507" s="6"/>
      <c r="BQ507" s="7"/>
      <c r="BR507" s="1"/>
      <c r="BS507" s="1"/>
    </row>
    <row r="508" spans="68:71" ht="15.75" customHeight="1" x14ac:dyDescent="0.25">
      <c r="BP508" s="6"/>
      <c r="BQ508" s="7"/>
      <c r="BR508" s="1"/>
      <c r="BS508" s="1"/>
    </row>
    <row r="509" spans="68:71" ht="15.75" customHeight="1" x14ac:dyDescent="0.25">
      <c r="BP509" s="6"/>
      <c r="BQ509" s="7"/>
      <c r="BR509" s="1"/>
      <c r="BS509" s="1"/>
    </row>
    <row r="510" spans="68:71" ht="15.75" customHeight="1" x14ac:dyDescent="0.25">
      <c r="BP510" s="6"/>
      <c r="BQ510" s="7"/>
      <c r="BR510" s="1"/>
      <c r="BS510" s="1"/>
    </row>
    <row r="511" spans="68:71" ht="15.75" customHeight="1" x14ac:dyDescent="0.25">
      <c r="BP511" s="6"/>
      <c r="BQ511" s="7"/>
      <c r="BR511" s="1"/>
      <c r="BS511" s="1"/>
    </row>
    <row r="512" spans="68:71" ht="15.75" customHeight="1" x14ac:dyDescent="0.25">
      <c r="BP512" s="6"/>
      <c r="BQ512" s="7"/>
      <c r="BR512" s="1"/>
      <c r="BS512" s="1"/>
    </row>
    <row r="513" spans="68:71" ht="15.75" customHeight="1" x14ac:dyDescent="0.25">
      <c r="BP513" s="6"/>
      <c r="BQ513" s="7"/>
      <c r="BR513" s="1"/>
      <c r="BS513" s="1"/>
    </row>
    <row r="514" spans="68:71" ht="15.75" customHeight="1" x14ac:dyDescent="0.25">
      <c r="BP514" s="6"/>
      <c r="BQ514" s="7"/>
      <c r="BR514" s="1"/>
      <c r="BS514" s="1"/>
    </row>
    <row r="515" spans="68:71" ht="15.75" customHeight="1" x14ac:dyDescent="0.25">
      <c r="BP515" s="6"/>
      <c r="BQ515" s="7"/>
      <c r="BR515" s="1"/>
      <c r="BS515" s="1"/>
    </row>
    <row r="516" spans="68:71" ht="15.75" customHeight="1" x14ac:dyDescent="0.25">
      <c r="BP516" s="6"/>
      <c r="BQ516" s="7"/>
      <c r="BR516" s="1"/>
      <c r="BS516" s="1"/>
    </row>
    <row r="517" spans="68:71" ht="15.75" customHeight="1" x14ac:dyDescent="0.25">
      <c r="BP517" s="6"/>
      <c r="BQ517" s="7"/>
      <c r="BR517" s="1"/>
      <c r="BS517" s="1"/>
    </row>
    <row r="518" spans="68:71" ht="15.75" customHeight="1" x14ac:dyDescent="0.25">
      <c r="BP518" s="6"/>
      <c r="BQ518" s="7"/>
      <c r="BR518" s="1"/>
      <c r="BS518" s="1"/>
    </row>
    <row r="519" spans="68:71" ht="15.75" customHeight="1" x14ac:dyDescent="0.25">
      <c r="BP519" s="6"/>
      <c r="BQ519" s="7"/>
      <c r="BR519" s="1"/>
      <c r="BS519" s="1"/>
    </row>
    <row r="520" spans="68:71" ht="15.75" customHeight="1" x14ac:dyDescent="0.25">
      <c r="BP520" s="6"/>
      <c r="BQ520" s="7"/>
      <c r="BR520" s="1"/>
      <c r="BS520" s="1"/>
    </row>
    <row r="521" spans="68:71" ht="15.75" customHeight="1" x14ac:dyDescent="0.25">
      <c r="BP521" s="6"/>
      <c r="BQ521" s="7"/>
      <c r="BR521" s="1"/>
      <c r="BS521" s="1"/>
    </row>
    <row r="522" spans="68:71" ht="15.75" customHeight="1" x14ac:dyDescent="0.25">
      <c r="BP522" s="6"/>
      <c r="BQ522" s="7"/>
      <c r="BR522" s="1"/>
      <c r="BS522" s="1"/>
    </row>
    <row r="523" spans="68:71" ht="15.75" customHeight="1" x14ac:dyDescent="0.25">
      <c r="BP523" s="6"/>
      <c r="BQ523" s="7"/>
      <c r="BR523" s="1"/>
      <c r="BS523" s="1"/>
    </row>
    <row r="524" spans="68:71" ht="15.75" customHeight="1" x14ac:dyDescent="0.25">
      <c r="BP524" s="6"/>
      <c r="BQ524" s="7"/>
      <c r="BR524" s="1"/>
      <c r="BS524" s="1"/>
    </row>
    <row r="525" spans="68:71" ht="15.75" customHeight="1" x14ac:dyDescent="0.25">
      <c r="BP525" s="6"/>
      <c r="BQ525" s="7"/>
      <c r="BR525" s="1"/>
      <c r="BS525" s="1"/>
    </row>
    <row r="526" spans="68:71" ht="15.75" customHeight="1" x14ac:dyDescent="0.25">
      <c r="BP526" s="6"/>
      <c r="BQ526" s="7"/>
      <c r="BR526" s="1"/>
      <c r="BS526" s="1"/>
    </row>
    <row r="527" spans="68:71" ht="15.75" customHeight="1" x14ac:dyDescent="0.25">
      <c r="BP527" s="6"/>
      <c r="BQ527" s="7"/>
      <c r="BR527" s="1"/>
      <c r="BS527" s="1"/>
    </row>
    <row r="528" spans="68:71" ht="15.75" customHeight="1" x14ac:dyDescent="0.25">
      <c r="BP528" s="6"/>
      <c r="BQ528" s="7"/>
      <c r="BR528" s="1"/>
      <c r="BS528" s="1"/>
    </row>
    <row r="529" spans="68:71" ht="15.75" customHeight="1" x14ac:dyDescent="0.25">
      <c r="BP529" s="6"/>
      <c r="BQ529" s="7"/>
      <c r="BR529" s="1"/>
      <c r="BS529" s="1"/>
    </row>
    <row r="530" spans="68:71" ht="15.75" customHeight="1" x14ac:dyDescent="0.25">
      <c r="BP530" s="6"/>
      <c r="BQ530" s="7"/>
      <c r="BR530" s="1"/>
      <c r="BS530" s="1"/>
    </row>
    <row r="531" spans="68:71" ht="15.75" customHeight="1" x14ac:dyDescent="0.25">
      <c r="BP531" s="6"/>
      <c r="BQ531" s="7"/>
      <c r="BR531" s="1"/>
      <c r="BS531" s="1"/>
    </row>
    <row r="532" spans="68:71" ht="15.75" customHeight="1" x14ac:dyDescent="0.25">
      <c r="BP532" s="6"/>
      <c r="BQ532" s="7"/>
      <c r="BR532" s="1"/>
      <c r="BS532" s="1"/>
    </row>
    <row r="533" spans="68:71" ht="15.75" customHeight="1" x14ac:dyDescent="0.25">
      <c r="BP533" s="6"/>
      <c r="BQ533" s="7"/>
      <c r="BR533" s="1"/>
      <c r="BS533" s="1"/>
    </row>
    <row r="534" spans="68:71" ht="15.75" customHeight="1" x14ac:dyDescent="0.25">
      <c r="BP534" s="6"/>
      <c r="BQ534" s="7"/>
      <c r="BR534" s="1"/>
      <c r="BS534" s="1"/>
    </row>
    <row r="535" spans="68:71" ht="15.75" customHeight="1" x14ac:dyDescent="0.25">
      <c r="BP535" s="6"/>
      <c r="BQ535" s="7"/>
      <c r="BR535" s="1"/>
      <c r="BS535" s="1"/>
    </row>
    <row r="536" spans="68:71" ht="15.75" customHeight="1" x14ac:dyDescent="0.25">
      <c r="BP536" s="6"/>
      <c r="BQ536" s="7"/>
      <c r="BR536" s="1"/>
      <c r="BS536" s="1"/>
    </row>
    <row r="537" spans="68:71" ht="15.75" customHeight="1" x14ac:dyDescent="0.25">
      <c r="BP537" s="6"/>
      <c r="BQ537" s="7"/>
      <c r="BR537" s="1"/>
      <c r="BS537" s="1"/>
    </row>
    <row r="538" spans="68:71" ht="15.75" customHeight="1" x14ac:dyDescent="0.25">
      <c r="BP538" s="6"/>
      <c r="BQ538" s="7"/>
      <c r="BR538" s="1"/>
      <c r="BS538" s="1"/>
    </row>
    <row r="539" spans="68:71" ht="15.75" customHeight="1" x14ac:dyDescent="0.25">
      <c r="BP539" s="6"/>
      <c r="BQ539" s="7"/>
      <c r="BR539" s="1"/>
      <c r="BS539" s="1"/>
    </row>
    <row r="540" spans="68:71" ht="15.75" customHeight="1" x14ac:dyDescent="0.25">
      <c r="BP540" s="6"/>
      <c r="BQ540" s="7"/>
      <c r="BR540" s="1"/>
      <c r="BS540" s="1"/>
    </row>
    <row r="541" spans="68:71" ht="15.75" customHeight="1" x14ac:dyDescent="0.25">
      <c r="BP541" s="6"/>
      <c r="BQ541" s="7"/>
      <c r="BR541" s="1"/>
      <c r="BS541" s="1"/>
    </row>
    <row r="542" spans="68:71" ht="15.75" customHeight="1" x14ac:dyDescent="0.25">
      <c r="BP542" s="6"/>
      <c r="BQ542" s="7"/>
      <c r="BR542" s="1"/>
      <c r="BS542" s="1"/>
    </row>
    <row r="543" spans="68:71" ht="15.75" customHeight="1" x14ac:dyDescent="0.25">
      <c r="BP543" s="6"/>
      <c r="BQ543" s="7"/>
      <c r="BR543" s="1"/>
      <c r="BS543" s="1"/>
    </row>
    <row r="544" spans="68:71" ht="15.75" customHeight="1" x14ac:dyDescent="0.25">
      <c r="BP544" s="6"/>
      <c r="BQ544" s="7"/>
      <c r="BR544" s="1"/>
      <c r="BS544" s="1"/>
    </row>
    <row r="545" spans="68:71" ht="15.75" customHeight="1" x14ac:dyDescent="0.25">
      <c r="BP545" s="6"/>
      <c r="BQ545" s="7"/>
      <c r="BR545" s="1"/>
      <c r="BS545" s="1"/>
    </row>
    <row r="546" spans="68:71" ht="15.75" customHeight="1" x14ac:dyDescent="0.25">
      <c r="BP546" s="6"/>
      <c r="BQ546" s="7"/>
      <c r="BR546" s="1"/>
      <c r="BS546" s="1"/>
    </row>
    <row r="547" spans="68:71" ht="15.75" customHeight="1" x14ac:dyDescent="0.25">
      <c r="BP547" s="6"/>
      <c r="BQ547" s="7"/>
      <c r="BR547" s="1"/>
      <c r="BS547" s="1"/>
    </row>
    <row r="548" spans="68:71" ht="15.75" customHeight="1" x14ac:dyDescent="0.25">
      <c r="BP548" s="6"/>
      <c r="BQ548" s="7"/>
      <c r="BR548" s="1"/>
      <c r="BS548" s="1"/>
    </row>
    <row r="549" spans="68:71" ht="15.75" customHeight="1" x14ac:dyDescent="0.25">
      <c r="BP549" s="6"/>
      <c r="BQ549" s="7"/>
      <c r="BR549" s="1"/>
      <c r="BS549" s="1"/>
    </row>
    <row r="550" spans="68:71" ht="15.75" customHeight="1" x14ac:dyDescent="0.25">
      <c r="BP550" s="6"/>
      <c r="BQ550" s="7"/>
      <c r="BR550" s="1"/>
      <c r="BS550" s="1"/>
    </row>
    <row r="551" spans="68:71" ht="15.75" customHeight="1" x14ac:dyDescent="0.25">
      <c r="BP551" s="6"/>
      <c r="BQ551" s="7"/>
      <c r="BR551" s="1"/>
      <c r="BS551" s="1"/>
    </row>
    <row r="552" spans="68:71" ht="15.75" customHeight="1" x14ac:dyDescent="0.25">
      <c r="BP552" s="6"/>
      <c r="BQ552" s="7"/>
      <c r="BR552" s="1"/>
      <c r="BS552" s="1"/>
    </row>
    <row r="553" spans="68:71" ht="15.75" customHeight="1" x14ac:dyDescent="0.25">
      <c r="BP553" s="6"/>
      <c r="BQ553" s="7"/>
      <c r="BR553" s="1"/>
      <c r="BS553" s="1"/>
    </row>
    <row r="554" spans="68:71" ht="15.75" customHeight="1" x14ac:dyDescent="0.25">
      <c r="BP554" s="6"/>
      <c r="BQ554" s="7"/>
      <c r="BR554" s="1"/>
      <c r="BS554" s="1"/>
    </row>
    <row r="555" spans="68:71" ht="15.75" customHeight="1" x14ac:dyDescent="0.25">
      <c r="BP555" s="6"/>
      <c r="BQ555" s="7"/>
      <c r="BR555" s="1"/>
      <c r="BS555" s="1"/>
    </row>
    <row r="556" spans="68:71" ht="15.75" customHeight="1" x14ac:dyDescent="0.25">
      <c r="BP556" s="6"/>
      <c r="BQ556" s="7"/>
      <c r="BR556" s="1"/>
      <c r="BS556" s="1"/>
    </row>
    <row r="557" spans="68:71" ht="15.75" customHeight="1" x14ac:dyDescent="0.25">
      <c r="BP557" s="6"/>
      <c r="BQ557" s="7"/>
      <c r="BR557" s="1"/>
      <c r="BS557" s="1"/>
    </row>
    <row r="558" spans="68:71" ht="15.75" customHeight="1" x14ac:dyDescent="0.25">
      <c r="BP558" s="6"/>
      <c r="BQ558" s="7"/>
      <c r="BR558" s="1"/>
      <c r="BS558" s="1"/>
    </row>
    <row r="559" spans="68:71" ht="15.75" customHeight="1" x14ac:dyDescent="0.25">
      <c r="BP559" s="6"/>
      <c r="BQ559" s="7"/>
      <c r="BR559" s="1"/>
      <c r="BS559" s="1"/>
    </row>
    <row r="560" spans="68:71" ht="15.75" customHeight="1" x14ac:dyDescent="0.25">
      <c r="BP560" s="6"/>
      <c r="BQ560" s="7"/>
      <c r="BR560" s="1"/>
      <c r="BS560" s="1"/>
    </row>
    <row r="561" spans="68:71" ht="15.75" customHeight="1" x14ac:dyDescent="0.25">
      <c r="BP561" s="6"/>
      <c r="BQ561" s="7"/>
      <c r="BR561" s="1"/>
      <c r="BS561" s="1"/>
    </row>
    <row r="562" spans="68:71" ht="15.75" customHeight="1" x14ac:dyDescent="0.25">
      <c r="BP562" s="6"/>
      <c r="BQ562" s="7"/>
      <c r="BR562" s="1"/>
      <c r="BS562" s="1"/>
    </row>
    <row r="563" spans="68:71" ht="15.75" customHeight="1" x14ac:dyDescent="0.25">
      <c r="BP563" s="6"/>
      <c r="BQ563" s="7"/>
      <c r="BR563" s="1"/>
      <c r="BS563" s="1"/>
    </row>
    <row r="564" spans="68:71" ht="15.75" customHeight="1" x14ac:dyDescent="0.25">
      <c r="BP564" s="6"/>
      <c r="BQ564" s="7"/>
      <c r="BR564" s="1"/>
      <c r="BS564" s="1"/>
    </row>
    <row r="565" spans="68:71" ht="15.75" customHeight="1" x14ac:dyDescent="0.25">
      <c r="BP565" s="6"/>
      <c r="BQ565" s="7"/>
      <c r="BR565" s="1"/>
      <c r="BS565" s="1"/>
    </row>
    <row r="566" spans="68:71" ht="15.75" customHeight="1" x14ac:dyDescent="0.25">
      <c r="BP566" s="6"/>
      <c r="BQ566" s="7"/>
      <c r="BR566" s="1"/>
      <c r="BS566" s="1"/>
    </row>
    <row r="567" spans="68:71" ht="15.75" customHeight="1" x14ac:dyDescent="0.25">
      <c r="BP567" s="6"/>
      <c r="BQ567" s="7"/>
      <c r="BR567" s="1"/>
      <c r="BS567" s="1"/>
    </row>
    <row r="568" spans="68:71" ht="15.75" customHeight="1" x14ac:dyDescent="0.25">
      <c r="BP568" s="6"/>
      <c r="BQ568" s="7"/>
      <c r="BR568" s="1"/>
      <c r="BS568" s="1"/>
    </row>
    <row r="569" spans="68:71" ht="15.75" customHeight="1" x14ac:dyDescent="0.25">
      <c r="BP569" s="6"/>
      <c r="BQ569" s="7"/>
      <c r="BR569" s="1"/>
      <c r="BS569" s="1"/>
    </row>
    <row r="570" spans="68:71" ht="15.75" customHeight="1" x14ac:dyDescent="0.25">
      <c r="BP570" s="6"/>
      <c r="BQ570" s="7"/>
      <c r="BR570" s="1"/>
      <c r="BS570" s="1"/>
    </row>
    <row r="571" spans="68:71" ht="15.75" customHeight="1" x14ac:dyDescent="0.25">
      <c r="BP571" s="6"/>
      <c r="BQ571" s="7"/>
      <c r="BR571" s="1"/>
      <c r="BS571" s="1"/>
    </row>
    <row r="572" spans="68:71" ht="15.75" customHeight="1" x14ac:dyDescent="0.25">
      <c r="BP572" s="6"/>
      <c r="BQ572" s="7"/>
      <c r="BR572" s="1"/>
      <c r="BS572" s="1"/>
    </row>
    <row r="573" spans="68:71" ht="15.75" customHeight="1" x14ac:dyDescent="0.25">
      <c r="BP573" s="6"/>
      <c r="BQ573" s="7"/>
      <c r="BR573" s="1"/>
      <c r="BS573" s="1"/>
    </row>
    <row r="574" spans="68:71" ht="15.75" customHeight="1" x14ac:dyDescent="0.25">
      <c r="BP574" s="6"/>
      <c r="BQ574" s="7"/>
      <c r="BR574" s="1"/>
      <c r="BS574" s="1"/>
    </row>
    <row r="575" spans="68:71" ht="15.75" customHeight="1" x14ac:dyDescent="0.25">
      <c r="BP575" s="6"/>
      <c r="BQ575" s="7"/>
      <c r="BR575" s="1"/>
      <c r="BS575" s="1"/>
    </row>
    <row r="576" spans="68:71" ht="15.75" customHeight="1" x14ac:dyDescent="0.25">
      <c r="BP576" s="6"/>
      <c r="BQ576" s="7"/>
      <c r="BR576" s="1"/>
      <c r="BS576" s="1"/>
    </row>
    <row r="577" spans="68:71" ht="15.75" customHeight="1" x14ac:dyDescent="0.25">
      <c r="BP577" s="6"/>
      <c r="BQ577" s="7"/>
      <c r="BR577" s="1"/>
      <c r="BS577" s="1"/>
    </row>
    <row r="578" spans="68:71" ht="15.75" customHeight="1" x14ac:dyDescent="0.25">
      <c r="BP578" s="6"/>
      <c r="BQ578" s="7"/>
      <c r="BR578" s="1"/>
      <c r="BS578" s="1"/>
    </row>
    <row r="579" spans="68:71" ht="15.75" customHeight="1" x14ac:dyDescent="0.25">
      <c r="BP579" s="6"/>
      <c r="BQ579" s="7"/>
      <c r="BR579" s="1"/>
      <c r="BS579" s="1"/>
    </row>
    <row r="580" spans="68:71" ht="15.75" customHeight="1" x14ac:dyDescent="0.25">
      <c r="BP580" s="6"/>
      <c r="BQ580" s="7"/>
      <c r="BR580" s="1"/>
      <c r="BS580" s="1"/>
    </row>
    <row r="581" spans="68:71" ht="15.75" customHeight="1" x14ac:dyDescent="0.25">
      <c r="BP581" s="6"/>
      <c r="BQ581" s="7"/>
      <c r="BR581" s="1"/>
      <c r="BS581" s="1"/>
    </row>
    <row r="582" spans="68:71" ht="15.75" customHeight="1" x14ac:dyDescent="0.25">
      <c r="BP582" s="6"/>
      <c r="BQ582" s="7"/>
      <c r="BR582" s="1"/>
      <c r="BS582" s="1"/>
    </row>
    <row r="583" spans="68:71" ht="15.75" customHeight="1" x14ac:dyDescent="0.25">
      <c r="BP583" s="6"/>
      <c r="BQ583" s="7"/>
      <c r="BR583" s="1"/>
      <c r="BS583" s="1"/>
    </row>
    <row r="584" spans="68:71" ht="15.75" customHeight="1" x14ac:dyDescent="0.25">
      <c r="BP584" s="6"/>
      <c r="BQ584" s="7"/>
      <c r="BR584" s="1"/>
      <c r="BS584" s="1"/>
    </row>
    <row r="585" spans="68:71" ht="15.75" customHeight="1" x14ac:dyDescent="0.25">
      <c r="BP585" s="6"/>
      <c r="BQ585" s="7"/>
      <c r="BR585" s="1"/>
      <c r="BS585" s="1"/>
    </row>
    <row r="586" spans="68:71" ht="15.75" customHeight="1" x14ac:dyDescent="0.25">
      <c r="BP586" s="6"/>
      <c r="BQ586" s="7"/>
      <c r="BR586" s="1"/>
      <c r="BS586" s="1"/>
    </row>
    <row r="587" spans="68:71" ht="15.75" customHeight="1" x14ac:dyDescent="0.25">
      <c r="BP587" s="6"/>
      <c r="BQ587" s="7"/>
      <c r="BR587" s="1"/>
      <c r="BS587" s="1"/>
    </row>
    <row r="588" spans="68:71" ht="15.75" customHeight="1" x14ac:dyDescent="0.25">
      <c r="BP588" s="6"/>
      <c r="BQ588" s="7"/>
      <c r="BR588" s="1"/>
      <c r="BS588" s="1"/>
    </row>
    <row r="589" spans="68:71" ht="15.75" customHeight="1" x14ac:dyDescent="0.25">
      <c r="BP589" s="6"/>
      <c r="BQ589" s="7"/>
      <c r="BR589" s="1"/>
      <c r="BS589" s="1"/>
    </row>
    <row r="590" spans="68:71" ht="15.75" customHeight="1" x14ac:dyDescent="0.25">
      <c r="BP590" s="6"/>
      <c r="BQ590" s="7"/>
      <c r="BR590" s="1"/>
      <c r="BS590" s="1"/>
    </row>
    <row r="591" spans="68:71" ht="15.75" customHeight="1" x14ac:dyDescent="0.25">
      <c r="BP591" s="6"/>
      <c r="BQ591" s="7"/>
      <c r="BR591" s="1"/>
      <c r="BS591" s="1"/>
    </row>
    <row r="592" spans="68:71" ht="15.75" customHeight="1" x14ac:dyDescent="0.25">
      <c r="BP592" s="6"/>
      <c r="BQ592" s="7"/>
      <c r="BR592" s="1"/>
      <c r="BS592" s="1"/>
    </row>
    <row r="593" spans="68:71" ht="15.75" customHeight="1" x14ac:dyDescent="0.25">
      <c r="BP593" s="6"/>
      <c r="BQ593" s="7"/>
      <c r="BR593" s="1"/>
      <c r="BS593" s="1"/>
    </row>
    <row r="594" spans="68:71" ht="15.75" customHeight="1" x14ac:dyDescent="0.25">
      <c r="BP594" s="6"/>
      <c r="BQ594" s="7"/>
      <c r="BR594" s="1"/>
      <c r="BS594" s="1"/>
    </row>
    <row r="595" spans="68:71" ht="15.75" customHeight="1" x14ac:dyDescent="0.25">
      <c r="BP595" s="6"/>
      <c r="BQ595" s="7"/>
      <c r="BR595" s="1"/>
      <c r="BS595" s="1"/>
    </row>
    <row r="596" spans="68:71" ht="15.75" customHeight="1" x14ac:dyDescent="0.25">
      <c r="BP596" s="6"/>
      <c r="BQ596" s="7"/>
      <c r="BR596" s="1"/>
      <c r="BS596" s="1"/>
    </row>
    <row r="597" spans="68:71" ht="15.75" customHeight="1" x14ac:dyDescent="0.25">
      <c r="BP597" s="6"/>
      <c r="BQ597" s="7"/>
      <c r="BR597" s="1"/>
      <c r="BS597" s="1"/>
    </row>
    <row r="598" spans="68:71" ht="15.75" customHeight="1" x14ac:dyDescent="0.25">
      <c r="BP598" s="6"/>
      <c r="BQ598" s="7"/>
      <c r="BR598" s="1"/>
      <c r="BS598" s="1"/>
    </row>
    <row r="599" spans="68:71" ht="15.75" customHeight="1" x14ac:dyDescent="0.25">
      <c r="BP599" s="6"/>
      <c r="BQ599" s="7"/>
      <c r="BR599" s="1"/>
      <c r="BS599" s="1"/>
    </row>
    <row r="600" spans="68:71" ht="15.75" customHeight="1" x14ac:dyDescent="0.25">
      <c r="BP600" s="6"/>
      <c r="BQ600" s="7"/>
      <c r="BR600" s="1"/>
      <c r="BS600" s="1"/>
    </row>
    <row r="601" spans="68:71" ht="15.75" customHeight="1" x14ac:dyDescent="0.25">
      <c r="BP601" s="6"/>
      <c r="BQ601" s="7"/>
      <c r="BR601" s="1"/>
      <c r="BS601" s="1"/>
    </row>
    <row r="602" spans="68:71" ht="15.75" customHeight="1" x14ac:dyDescent="0.25">
      <c r="BP602" s="6"/>
      <c r="BQ602" s="7"/>
      <c r="BR602" s="1"/>
      <c r="BS602" s="1"/>
    </row>
    <row r="603" spans="68:71" ht="15.75" customHeight="1" x14ac:dyDescent="0.25">
      <c r="BP603" s="6"/>
      <c r="BQ603" s="7"/>
      <c r="BR603" s="1"/>
      <c r="BS603" s="1"/>
    </row>
    <row r="604" spans="68:71" ht="15.75" customHeight="1" x14ac:dyDescent="0.25">
      <c r="BP604" s="6"/>
      <c r="BQ604" s="7"/>
      <c r="BR604" s="1"/>
      <c r="BS604" s="1"/>
    </row>
    <row r="605" spans="68:71" ht="15.75" customHeight="1" x14ac:dyDescent="0.25">
      <c r="BP605" s="6"/>
      <c r="BQ605" s="7"/>
      <c r="BR605" s="1"/>
      <c r="BS605" s="1"/>
    </row>
    <row r="606" spans="68:71" ht="15.75" customHeight="1" x14ac:dyDescent="0.25">
      <c r="BP606" s="6"/>
      <c r="BQ606" s="7"/>
      <c r="BR606" s="1"/>
      <c r="BS606" s="1"/>
    </row>
    <row r="607" spans="68:71" ht="15.75" customHeight="1" x14ac:dyDescent="0.25">
      <c r="BP607" s="6"/>
      <c r="BQ607" s="7"/>
      <c r="BR607" s="1"/>
      <c r="BS607" s="1"/>
    </row>
    <row r="608" spans="68:71" ht="15.75" customHeight="1" x14ac:dyDescent="0.25">
      <c r="BP608" s="6"/>
      <c r="BQ608" s="7"/>
      <c r="BR608" s="1"/>
      <c r="BS608" s="1"/>
    </row>
    <row r="609" spans="68:71" ht="15.75" customHeight="1" x14ac:dyDescent="0.25">
      <c r="BP609" s="6"/>
      <c r="BQ609" s="7"/>
      <c r="BR609" s="1"/>
      <c r="BS609" s="1"/>
    </row>
    <row r="610" spans="68:71" ht="15.75" customHeight="1" x14ac:dyDescent="0.25">
      <c r="BP610" s="6"/>
      <c r="BQ610" s="7"/>
      <c r="BR610" s="1"/>
      <c r="BS610" s="1"/>
    </row>
    <row r="611" spans="68:71" ht="15.75" customHeight="1" x14ac:dyDescent="0.25">
      <c r="BP611" s="6"/>
      <c r="BQ611" s="7"/>
      <c r="BR611" s="1"/>
      <c r="BS611" s="1"/>
    </row>
    <row r="612" spans="68:71" ht="15.75" customHeight="1" x14ac:dyDescent="0.25">
      <c r="BP612" s="6"/>
      <c r="BQ612" s="7"/>
      <c r="BR612" s="1"/>
      <c r="BS612" s="1"/>
    </row>
    <row r="613" spans="68:71" ht="15.75" customHeight="1" x14ac:dyDescent="0.25">
      <c r="BP613" s="6"/>
      <c r="BQ613" s="7"/>
      <c r="BR613" s="1"/>
      <c r="BS613" s="1"/>
    </row>
    <row r="614" spans="68:71" ht="15.75" customHeight="1" x14ac:dyDescent="0.25">
      <c r="BP614" s="6"/>
      <c r="BQ614" s="7"/>
      <c r="BR614" s="1"/>
      <c r="BS614" s="1"/>
    </row>
    <row r="615" spans="68:71" ht="15.75" customHeight="1" x14ac:dyDescent="0.25">
      <c r="BP615" s="6"/>
      <c r="BQ615" s="7"/>
      <c r="BR615" s="1"/>
      <c r="BS615" s="1"/>
    </row>
    <row r="616" spans="68:71" ht="15.75" customHeight="1" x14ac:dyDescent="0.25">
      <c r="BP616" s="6"/>
      <c r="BQ616" s="7"/>
      <c r="BR616" s="1"/>
      <c r="BS616" s="1"/>
    </row>
    <row r="617" spans="68:71" ht="15.75" customHeight="1" x14ac:dyDescent="0.25">
      <c r="BP617" s="6"/>
      <c r="BQ617" s="7"/>
      <c r="BR617" s="1"/>
      <c r="BS617" s="1"/>
    </row>
    <row r="618" spans="68:71" ht="15.75" customHeight="1" x14ac:dyDescent="0.25">
      <c r="BP618" s="6"/>
      <c r="BQ618" s="7"/>
      <c r="BR618" s="1"/>
      <c r="BS618" s="1"/>
    </row>
    <row r="619" spans="68:71" ht="15.75" customHeight="1" x14ac:dyDescent="0.25">
      <c r="BP619" s="6"/>
      <c r="BQ619" s="7"/>
      <c r="BR619" s="1"/>
      <c r="BS619" s="1"/>
    </row>
    <row r="620" spans="68:71" ht="15.75" customHeight="1" x14ac:dyDescent="0.25">
      <c r="BP620" s="6"/>
      <c r="BQ620" s="7"/>
      <c r="BR620" s="1"/>
      <c r="BS620" s="1"/>
    </row>
    <row r="621" spans="68:71" ht="15.75" customHeight="1" x14ac:dyDescent="0.25">
      <c r="BP621" s="6"/>
      <c r="BQ621" s="7"/>
      <c r="BR621" s="1"/>
      <c r="BS621" s="1"/>
    </row>
    <row r="622" spans="68:71" ht="15.75" customHeight="1" x14ac:dyDescent="0.25">
      <c r="BP622" s="6"/>
      <c r="BQ622" s="7"/>
      <c r="BR622" s="1"/>
      <c r="BS622" s="1"/>
    </row>
    <row r="623" spans="68:71" ht="15.75" customHeight="1" x14ac:dyDescent="0.25">
      <c r="BP623" s="6"/>
      <c r="BQ623" s="7"/>
      <c r="BR623" s="1"/>
      <c r="BS623" s="1"/>
    </row>
    <row r="624" spans="68:71" ht="15.75" customHeight="1" x14ac:dyDescent="0.25">
      <c r="BP624" s="6"/>
      <c r="BQ624" s="7"/>
      <c r="BR624" s="1"/>
      <c r="BS624" s="1"/>
    </row>
    <row r="625" spans="68:71" ht="15.75" customHeight="1" x14ac:dyDescent="0.25">
      <c r="BP625" s="6"/>
      <c r="BQ625" s="7"/>
      <c r="BR625" s="1"/>
      <c r="BS625" s="1"/>
    </row>
    <row r="626" spans="68:71" ht="15.75" customHeight="1" x14ac:dyDescent="0.25">
      <c r="BP626" s="6"/>
      <c r="BQ626" s="7"/>
      <c r="BR626" s="1"/>
      <c r="BS626" s="1"/>
    </row>
    <row r="627" spans="68:71" ht="15.75" customHeight="1" x14ac:dyDescent="0.25">
      <c r="BP627" s="6"/>
      <c r="BQ627" s="7"/>
      <c r="BR627" s="1"/>
      <c r="BS627" s="1"/>
    </row>
    <row r="628" spans="68:71" ht="15.75" customHeight="1" x14ac:dyDescent="0.25">
      <c r="BP628" s="6"/>
      <c r="BQ628" s="7"/>
      <c r="BR628" s="1"/>
      <c r="BS628" s="1"/>
    </row>
    <row r="629" spans="68:71" ht="15.75" customHeight="1" x14ac:dyDescent="0.25">
      <c r="BP629" s="6"/>
      <c r="BQ629" s="7"/>
      <c r="BR629" s="1"/>
      <c r="BS629" s="1"/>
    </row>
    <row r="630" spans="68:71" ht="15.75" customHeight="1" x14ac:dyDescent="0.25">
      <c r="BP630" s="6"/>
      <c r="BQ630" s="7"/>
      <c r="BR630" s="1"/>
      <c r="BS630" s="1"/>
    </row>
    <row r="631" spans="68:71" ht="15.75" customHeight="1" x14ac:dyDescent="0.25">
      <c r="BP631" s="6"/>
      <c r="BQ631" s="7"/>
      <c r="BR631" s="1"/>
      <c r="BS631" s="1"/>
    </row>
    <row r="632" spans="68:71" ht="15.75" customHeight="1" x14ac:dyDescent="0.25">
      <c r="BP632" s="6"/>
      <c r="BQ632" s="7"/>
      <c r="BR632" s="1"/>
      <c r="BS632" s="1"/>
    </row>
    <row r="633" spans="68:71" ht="15.75" customHeight="1" x14ac:dyDescent="0.25">
      <c r="BP633" s="6"/>
      <c r="BQ633" s="7"/>
      <c r="BR633" s="1"/>
      <c r="BS633" s="1"/>
    </row>
    <row r="634" spans="68:71" ht="15.75" customHeight="1" x14ac:dyDescent="0.25">
      <c r="BP634" s="6"/>
      <c r="BQ634" s="7"/>
      <c r="BR634" s="1"/>
      <c r="BS634" s="1"/>
    </row>
    <row r="635" spans="68:71" ht="15.75" customHeight="1" x14ac:dyDescent="0.25">
      <c r="BP635" s="6"/>
      <c r="BQ635" s="7"/>
      <c r="BR635" s="1"/>
      <c r="BS635" s="1"/>
    </row>
    <row r="636" spans="68:71" ht="15.75" customHeight="1" x14ac:dyDescent="0.25">
      <c r="BP636" s="6"/>
      <c r="BQ636" s="7"/>
      <c r="BR636" s="1"/>
      <c r="BS636" s="1"/>
    </row>
    <row r="637" spans="68:71" ht="15.75" customHeight="1" x14ac:dyDescent="0.25">
      <c r="BP637" s="6"/>
      <c r="BQ637" s="7"/>
      <c r="BR637" s="1"/>
      <c r="BS637" s="1"/>
    </row>
    <row r="638" spans="68:71" ht="15.75" customHeight="1" x14ac:dyDescent="0.25">
      <c r="BP638" s="6"/>
      <c r="BQ638" s="7"/>
      <c r="BR638" s="1"/>
      <c r="BS638" s="1"/>
    </row>
    <row r="639" spans="68:71" ht="15.75" customHeight="1" x14ac:dyDescent="0.25">
      <c r="BP639" s="6"/>
      <c r="BQ639" s="7"/>
      <c r="BR639" s="1"/>
      <c r="BS639" s="1"/>
    </row>
    <row r="640" spans="68:71" ht="15.75" customHeight="1" x14ac:dyDescent="0.25">
      <c r="BP640" s="6"/>
      <c r="BQ640" s="7"/>
      <c r="BR640" s="1"/>
      <c r="BS640" s="1"/>
    </row>
    <row r="641" spans="68:71" ht="15.75" customHeight="1" x14ac:dyDescent="0.25">
      <c r="BP641" s="6"/>
      <c r="BQ641" s="7"/>
      <c r="BR641" s="1"/>
      <c r="BS641" s="1"/>
    </row>
    <row r="642" spans="68:71" ht="15.75" customHeight="1" x14ac:dyDescent="0.25">
      <c r="BP642" s="6"/>
      <c r="BQ642" s="7"/>
      <c r="BR642" s="1"/>
      <c r="BS642" s="1"/>
    </row>
    <row r="643" spans="68:71" ht="15.75" customHeight="1" x14ac:dyDescent="0.25">
      <c r="BP643" s="6"/>
      <c r="BQ643" s="7"/>
      <c r="BR643" s="1"/>
      <c r="BS643" s="1"/>
    </row>
    <row r="644" spans="68:71" ht="15.75" customHeight="1" x14ac:dyDescent="0.25">
      <c r="BP644" s="6"/>
      <c r="BQ644" s="7"/>
      <c r="BR644" s="1"/>
      <c r="BS644" s="1"/>
    </row>
    <row r="645" spans="68:71" ht="15.75" customHeight="1" x14ac:dyDescent="0.25">
      <c r="BP645" s="6"/>
      <c r="BQ645" s="7"/>
      <c r="BR645" s="1"/>
      <c r="BS645" s="1"/>
    </row>
    <row r="646" spans="68:71" ht="15.75" customHeight="1" x14ac:dyDescent="0.25">
      <c r="BP646" s="6"/>
      <c r="BQ646" s="7"/>
      <c r="BR646" s="1"/>
      <c r="BS646" s="1"/>
    </row>
    <row r="647" spans="68:71" ht="15.75" customHeight="1" x14ac:dyDescent="0.25">
      <c r="BP647" s="6"/>
      <c r="BQ647" s="7"/>
      <c r="BR647" s="1"/>
      <c r="BS647" s="1"/>
    </row>
    <row r="648" spans="68:71" ht="15.75" customHeight="1" x14ac:dyDescent="0.25">
      <c r="BP648" s="6"/>
      <c r="BQ648" s="7"/>
      <c r="BR648" s="1"/>
      <c r="BS648" s="1"/>
    </row>
    <row r="649" spans="68:71" ht="15.75" customHeight="1" x14ac:dyDescent="0.25">
      <c r="BP649" s="6"/>
      <c r="BQ649" s="7"/>
      <c r="BR649" s="1"/>
      <c r="BS649" s="1"/>
    </row>
    <row r="650" spans="68:71" ht="15.75" customHeight="1" x14ac:dyDescent="0.25">
      <c r="BP650" s="6"/>
      <c r="BQ650" s="7"/>
      <c r="BR650" s="1"/>
      <c r="BS650" s="1"/>
    </row>
    <row r="651" spans="68:71" ht="15.75" customHeight="1" x14ac:dyDescent="0.25">
      <c r="BP651" s="6"/>
      <c r="BQ651" s="7"/>
      <c r="BR651" s="1"/>
      <c r="BS651" s="1"/>
    </row>
    <row r="652" spans="68:71" ht="15.75" customHeight="1" x14ac:dyDescent="0.25">
      <c r="BP652" s="6"/>
      <c r="BQ652" s="7"/>
      <c r="BR652" s="1"/>
      <c r="BS652" s="1"/>
    </row>
    <row r="653" spans="68:71" ht="15.75" customHeight="1" x14ac:dyDescent="0.25">
      <c r="BP653" s="6"/>
      <c r="BQ653" s="7"/>
      <c r="BR653" s="1"/>
      <c r="BS653" s="1"/>
    </row>
    <row r="654" spans="68:71" ht="15.75" customHeight="1" x14ac:dyDescent="0.25">
      <c r="BP654" s="6"/>
      <c r="BQ654" s="7"/>
      <c r="BR654" s="1"/>
      <c r="BS654" s="1"/>
    </row>
    <row r="655" spans="68:71" ht="15.75" customHeight="1" x14ac:dyDescent="0.25">
      <c r="BP655" s="6"/>
      <c r="BQ655" s="7"/>
      <c r="BR655" s="1"/>
      <c r="BS655" s="1"/>
    </row>
    <row r="656" spans="68:71" ht="15.75" customHeight="1" x14ac:dyDescent="0.25">
      <c r="BP656" s="6"/>
      <c r="BQ656" s="7"/>
      <c r="BR656" s="1"/>
      <c r="BS656" s="1"/>
    </row>
    <row r="657" spans="68:71" ht="15.75" customHeight="1" x14ac:dyDescent="0.25">
      <c r="BP657" s="6"/>
      <c r="BQ657" s="7"/>
      <c r="BR657" s="1"/>
      <c r="BS657" s="1"/>
    </row>
    <row r="658" spans="68:71" ht="15.75" customHeight="1" x14ac:dyDescent="0.25">
      <c r="BP658" s="6"/>
      <c r="BQ658" s="7"/>
      <c r="BR658" s="1"/>
      <c r="BS658" s="1"/>
    </row>
    <row r="659" spans="68:71" ht="15.75" customHeight="1" x14ac:dyDescent="0.25">
      <c r="BP659" s="6"/>
      <c r="BQ659" s="7"/>
      <c r="BR659" s="1"/>
      <c r="BS659" s="1"/>
    </row>
    <row r="660" spans="68:71" ht="15.75" customHeight="1" x14ac:dyDescent="0.25">
      <c r="BP660" s="6"/>
      <c r="BQ660" s="7"/>
      <c r="BR660" s="1"/>
      <c r="BS660" s="1"/>
    </row>
    <row r="661" spans="68:71" ht="15.75" customHeight="1" x14ac:dyDescent="0.25">
      <c r="BP661" s="6"/>
      <c r="BQ661" s="7"/>
      <c r="BR661" s="1"/>
      <c r="BS661" s="1"/>
    </row>
    <row r="662" spans="68:71" ht="15.75" customHeight="1" x14ac:dyDescent="0.25">
      <c r="BP662" s="6"/>
      <c r="BQ662" s="7"/>
      <c r="BR662" s="1"/>
      <c r="BS662" s="1"/>
    </row>
    <row r="663" spans="68:71" ht="15.75" customHeight="1" x14ac:dyDescent="0.25">
      <c r="BP663" s="6"/>
      <c r="BQ663" s="7"/>
      <c r="BR663" s="1"/>
      <c r="BS663" s="1"/>
    </row>
    <row r="664" spans="68:71" ht="15.75" customHeight="1" x14ac:dyDescent="0.25">
      <c r="BP664" s="6"/>
      <c r="BQ664" s="7"/>
      <c r="BR664" s="1"/>
      <c r="BS664" s="1"/>
    </row>
    <row r="665" spans="68:71" ht="15.75" customHeight="1" x14ac:dyDescent="0.25">
      <c r="BP665" s="6"/>
      <c r="BQ665" s="7"/>
      <c r="BR665" s="1"/>
      <c r="BS665" s="1"/>
    </row>
    <row r="666" spans="68:71" ht="15.75" customHeight="1" x14ac:dyDescent="0.25">
      <c r="BP666" s="6"/>
      <c r="BQ666" s="7"/>
      <c r="BR666" s="1"/>
      <c r="BS666" s="1"/>
    </row>
    <row r="667" spans="68:71" ht="15.75" customHeight="1" x14ac:dyDescent="0.25">
      <c r="BP667" s="6"/>
      <c r="BQ667" s="7"/>
      <c r="BR667" s="1"/>
      <c r="BS667" s="1"/>
    </row>
    <row r="668" spans="68:71" ht="15.75" customHeight="1" x14ac:dyDescent="0.25">
      <c r="BP668" s="6"/>
      <c r="BQ668" s="7"/>
      <c r="BR668" s="1"/>
      <c r="BS668" s="1"/>
    </row>
    <row r="669" spans="68:71" ht="15.75" customHeight="1" x14ac:dyDescent="0.25">
      <c r="BP669" s="6"/>
      <c r="BQ669" s="7"/>
      <c r="BR669" s="1"/>
      <c r="BS669" s="1"/>
    </row>
    <row r="670" spans="68:71" ht="15.75" customHeight="1" x14ac:dyDescent="0.25">
      <c r="BP670" s="6"/>
      <c r="BQ670" s="7"/>
      <c r="BR670" s="1"/>
      <c r="BS670" s="1"/>
    </row>
    <row r="671" spans="68:71" ht="15.75" customHeight="1" x14ac:dyDescent="0.25">
      <c r="BP671" s="6"/>
      <c r="BQ671" s="7"/>
      <c r="BR671" s="1"/>
      <c r="BS671" s="1"/>
    </row>
    <row r="672" spans="68:71" ht="15.75" customHeight="1" x14ac:dyDescent="0.25">
      <c r="BP672" s="6"/>
      <c r="BQ672" s="7"/>
      <c r="BR672" s="1"/>
      <c r="BS672" s="1"/>
    </row>
    <row r="673" spans="68:71" ht="15.75" customHeight="1" x14ac:dyDescent="0.25">
      <c r="BP673" s="6"/>
      <c r="BQ673" s="7"/>
      <c r="BR673" s="1"/>
      <c r="BS673" s="1"/>
    </row>
    <row r="674" spans="68:71" ht="15.75" customHeight="1" x14ac:dyDescent="0.25">
      <c r="BP674" s="6"/>
      <c r="BQ674" s="7"/>
      <c r="BR674" s="1"/>
      <c r="BS674" s="1"/>
    </row>
    <row r="675" spans="68:71" ht="15.75" customHeight="1" x14ac:dyDescent="0.25">
      <c r="BP675" s="6"/>
      <c r="BQ675" s="7"/>
      <c r="BR675" s="1"/>
      <c r="BS675" s="1"/>
    </row>
    <row r="676" spans="68:71" ht="15.75" customHeight="1" x14ac:dyDescent="0.25">
      <c r="BP676" s="6"/>
      <c r="BQ676" s="7"/>
      <c r="BR676" s="1"/>
      <c r="BS676" s="1"/>
    </row>
    <row r="677" spans="68:71" ht="15.75" customHeight="1" x14ac:dyDescent="0.25">
      <c r="BP677" s="6"/>
      <c r="BQ677" s="7"/>
      <c r="BR677" s="1"/>
      <c r="BS677" s="1"/>
    </row>
    <row r="678" spans="68:71" ht="15.75" customHeight="1" x14ac:dyDescent="0.25">
      <c r="BP678" s="6"/>
      <c r="BQ678" s="7"/>
      <c r="BR678" s="1"/>
      <c r="BS678" s="1"/>
    </row>
    <row r="679" spans="68:71" ht="15.75" customHeight="1" x14ac:dyDescent="0.25">
      <c r="BP679" s="6"/>
      <c r="BQ679" s="7"/>
      <c r="BR679" s="1"/>
      <c r="BS679" s="1"/>
    </row>
    <row r="680" spans="68:71" ht="15.75" customHeight="1" x14ac:dyDescent="0.25">
      <c r="BP680" s="6"/>
      <c r="BQ680" s="7"/>
      <c r="BR680" s="1"/>
      <c r="BS680" s="1"/>
    </row>
    <row r="681" spans="68:71" ht="15.75" customHeight="1" x14ac:dyDescent="0.25">
      <c r="BP681" s="6"/>
      <c r="BQ681" s="7"/>
      <c r="BR681" s="1"/>
      <c r="BS681" s="1"/>
    </row>
    <row r="682" spans="68:71" ht="15.75" customHeight="1" x14ac:dyDescent="0.25">
      <c r="BP682" s="6"/>
      <c r="BQ682" s="7"/>
      <c r="BR682" s="1"/>
      <c r="BS682" s="1"/>
    </row>
    <row r="683" spans="68:71" ht="15.75" customHeight="1" x14ac:dyDescent="0.25">
      <c r="BP683" s="6"/>
      <c r="BQ683" s="7"/>
      <c r="BR683" s="1"/>
      <c r="BS683" s="1"/>
    </row>
    <row r="684" spans="68:71" ht="15.75" customHeight="1" x14ac:dyDescent="0.25">
      <c r="BP684" s="6"/>
      <c r="BQ684" s="7"/>
      <c r="BR684" s="1"/>
      <c r="BS684" s="1"/>
    </row>
    <row r="685" spans="68:71" ht="15.75" customHeight="1" x14ac:dyDescent="0.25">
      <c r="BP685" s="6"/>
      <c r="BQ685" s="7"/>
      <c r="BR685" s="1"/>
      <c r="BS685" s="1"/>
    </row>
    <row r="686" spans="68:71" ht="15.75" customHeight="1" x14ac:dyDescent="0.25">
      <c r="BP686" s="6"/>
      <c r="BQ686" s="7"/>
      <c r="BR686" s="1"/>
      <c r="BS686" s="1"/>
    </row>
    <row r="687" spans="68:71" ht="15.75" customHeight="1" x14ac:dyDescent="0.25">
      <c r="BP687" s="6"/>
      <c r="BQ687" s="7"/>
      <c r="BR687" s="1"/>
      <c r="BS687" s="1"/>
    </row>
    <row r="688" spans="68:71" ht="15.75" customHeight="1" x14ac:dyDescent="0.25">
      <c r="BP688" s="6"/>
      <c r="BQ688" s="7"/>
      <c r="BR688" s="1"/>
      <c r="BS688" s="1"/>
    </row>
    <row r="689" spans="68:71" ht="15.75" customHeight="1" x14ac:dyDescent="0.25">
      <c r="BP689" s="6"/>
      <c r="BQ689" s="7"/>
      <c r="BR689" s="1"/>
      <c r="BS689" s="1"/>
    </row>
    <row r="690" spans="68:71" ht="15.75" customHeight="1" x14ac:dyDescent="0.25">
      <c r="BP690" s="6"/>
      <c r="BQ690" s="7"/>
      <c r="BR690" s="1"/>
      <c r="BS690" s="1"/>
    </row>
    <row r="691" spans="68:71" ht="15.75" customHeight="1" x14ac:dyDescent="0.25">
      <c r="BP691" s="6"/>
      <c r="BQ691" s="7"/>
      <c r="BR691" s="1"/>
      <c r="BS691" s="1"/>
    </row>
    <row r="692" spans="68:71" ht="15.75" customHeight="1" x14ac:dyDescent="0.25">
      <c r="BP692" s="6"/>
      <c r="BQ692" s="7"/>
      <c r="BR692" s="1"/>
      <c r="BS692" s="1"/>
    </row>
    <row r="693" spans="68:71" ht="15.75" customHeight="1" x14ac:dyDescent="0.25">
      <c r="BP693" s="6"/>
      <c r="BQ693" s="7"/>
      <c r="BR693" s="1"/>
      <c r="BS693" s="1"/>
    </row>
    <row r="694" spans="68:71" ht="15.75" customHeight="1" x14ac:dyDescent="0.25">
      <c r="BP694" s="6"/>
      <c r="BQ694" s="7"/>
      <c r="BR694" s="1"/>
      <c r="BS694" s="1"/>
    </row>
    <row r="695" spans="68:71" ht="15.75" customHeight="1" x14ac:dyDescent="0.25">
      <c r="BP695" s="6"/>
      <c r="BQ695" s="7"/>
      <c r="BR695" s="1"/>
      <c r="BS695" s="1"/>
    </row>
    <row r="696" spans="68:71" ht="15.75" customHeight="1" x14ac:dyDescent="0.25">
      <c r="BP696" s="6"/>
      <c r="BQ696" s="7"/>
      <c r="BR696" s="1"/>
      <c r="BS696" s="1"/>
    </row>
    <row r="697" spans="68:71" ht="15.75" customHeight="1" x14ac:dyDescent="0.25">
      <c r="BP697" s="6"/>
      <c r="BQ697" s="7"/>
      <c r="BR697" s="1"/>
      <c r="BS697" s="1"/>
    </row>
    <row r="698" spans="68:71" ht="15.75" customHeight="1" x14ac:dyDescent="0.25">
      <c r="BP698" s="6"/>
      <c r="BQ698" s="7"/>
      <c r="BR698" s="1"/>
      <c r="BS698" s="1"/>
    </row>
    <row r="699" spans="68:71" ht="15.75" customHeight="1" x14ac:dyDescent="0.25">
      <c r="BP699" s="6"/>
      <c r="BQ699" s="7"/>
      <c r="BR699" s="1"/>
      <c r="BS699" s="1"/>
    </row>
    <row r="700" spans="68:71" ht="15.75" customHeight="1" x14ac:dyDescent="0.25">
      <c r="BP700" s="6"/>
      <c r="BQ700" s="7"/>
      <c r="BR700" s="1"/>
      <c r="BS700" s="1"/>
    </row>
    <row r="701" spans="68:71" ht="15.75" customHeight="1" x14ac:dyDescent="0.25">
      <c r="BP701" s="6"/>
      <c r="BQ701" s="7"/>
      <c r="BR701" s="1"/>
      <c r="BS701" s="1"/>
    </row>
    <row r="702" spans="68:71" ht="15.75" customHeight="1" x14ac:dyDescent="0.25">
      <c r="BP702" s="6"/>
      <c r="BQ702" s="7"/>
      <c r="BR702" s="1"/>
      <c r="BS702" s="1"/>
    </row>
    <row r="703" spans="68:71" ht="15.75" customHeight="1" x14ac:dyDescent="0.25">
      <c r="BP703" s="6"/>
      <c r="BQ703" s="7"/>
      <c r="BR703" s="1"/>
      <c r="BS703" s="1"/>
    </row>
    <row r="704" spans="68:71" ht="15.75" customHeight="1" x14ac:dyDescent="0.25">
      <c r="BP704" s="6"/>
      <c r="BQ704" s="7"/>
      <c r="BR704" s="1"/>
      <c r="BS704" s="1"/>
    </row>
    <row r="705" spans="68:71" ht="15.75" customHeight="1" x14ac:dyDescent="0.25">
      <c r="BP705" s="6"/>
      <c r="BQ705" s="7"/>
      <c r="BR705" s="1"/>
      <c r="BS705" s="1"/>
    </row>
    <row r="706" spans="68:71" ht="15.75" customHeight="1" x14ac:dyDescent="0.25">
      <c r="BP706" s="6"/>
      <c r="BQ706" s="7"/>
      <c r="BR706" s="1"/>
      <c r="BS706" s="1"/>
    </row>
    <row r="707" spans="68:71" ht="15.75" customHeight="1" x14ac:dyDescent="0.25">
      <c r="BP707" s="6"/>
      <c r="BQ707" s="7"/>
      <c r="BR707" s="1"/>
      <c r="BS707" s="1"/>
    </row>
    <row r="708" spans="68:71" ht="15.75" customHeight="1" x14ac:dyDescent="0.25">
      <c r="BP708" s="6"/>
      <c r="BQ708" s="7"/>
      <c r="BR708" s="1"/>
      <c r="BS708" s="1"/>
    </row>
    <row r="709" spans="68:71" ht="15.75" customHeight="1" x14ac:dyDescent="0.25">
      <c r="BP709" s="6"/>
      <c r="BQ709" s="7"/>
      <c r="BR709" s="1"/>
      <c r="BS709" s="1"/>
    </row>
    <row r="710" spans="68:71" ht="15.75" customHeight="1" x14ac:dyDescent="0.25">
      <c r="BP710" s="6"/>
      <c r="BQ710" s="7"/>
      <c r="BR710" s="1"/>
      <c r="BS710" s="1"/>
    </row>
    <row r="711" spans="68:71" ht="15.75" customHeight="1" x14ac:dyDescent="0.25">
      <c r="BP711" s="6"/>
      <c r="BQ711" s="7"/>
      <c r="BR711" s="1"/>
      <c r="BS711" s="1"/>
    </row>
    <row r="712" spans="68:71" ht="15.75" customHeight="1" x14ac:dyDescent="0.25">
      <c r="BP712" s="6"/>
      <c r="BQ712" s="7"/>
      <c r="BR712" s="1"/>
      <c r="BS712" s="1"/>
    </row>
    <row r="713" spans="68:71" ht="15.75" customHeight="1" x14ac:dyDescent="0.25">
      <c r="BP713" s="6"/>
      <c r="BQ713" s="7"/>
      <c r="BR713" s="1"/>
      <c r="BS713" s="1"/>
    </row>
    <row r="714" spans="68:71" ht="15.75" customHeight="1" x14ac:dyDescent="0.25">
      <c r="BP714" s="6"/>
      <c r="BQ714" s="7"/>
      <c r="BR714" s="1"/>
      <c r="BS714" s="1"/>
    </row>
    <row r="715" spans="68:71" ht="15.75" customHeight="1" x14ac:dyDescent="0.25">
      <c r="BP715" s="6"/>
      <c r="BQ715" s="7"/>
      <c r="BR715" s="1"/>
      <c r="BS715" s="1"/>
    </row>
    <row r="716" spans="68:71" ht="15.75" customHeight="1" x14ac:dyDescent="0.25">
      <c r="BP716" s="6"/>
      <c r="BQ716" s="7"/>
      <c r="BR716" s="1"/>
      <c r="BS716" s="1"/>
    </row>
    <row r="717" spans="68:71" ht="15.75" customHeight="1" x14ac:dyDescent="0.25">
      <c r="BP717" s="6"/>
      <c r="BQ717" s="7"/>
      <c r="BR717" s="1"/>
      <c r="BS717" s="1"/>
    </row>
    <row r="718" spans="68:71" ht="15.75" customHeight="1" x14ac:dyDescent="0.25">
      <c r="BP718" s="6"/>
      <c r="BQ718" s="7"/>
      <c r="BR718" s="1"/>
      <c r="BS718" s="1"/>
    </row>
    <row r="719" spans="68:71" ht="15.75" customHeight="1" x14ac:dyDescent="0.25">
      <c r="BP719" s="6"/>
      <c r="BQ719" s="7"/>
      <c r="BR719" s="1"/>
      <c r="BS719" s="1"/>
    </row>
    <row r="720" spans="68:71" ht="15.75" customHeight="1" x14ac:dyDescent="0.25">
      <c r="BP720" s="6"/>
      <c r="BQ720" s="7"/>
      <c r="BR720" s="1"/>
      <c r="BS720" s="1"/>
    </row>
    <row r="721" spans="68:71" ht="15.75" customHeight="1" x14ac:dyDescent="0.25">
      <c r="BP721" s="6"/>
      <c r="BQ721" s="7"/>
      <c r="BR721" s="1"/>
      <c r="BS721" s="1"/>
    </row>
    <row r="722" spans="68:71" ht="15.75" customHeight="1" x14ac:dyDescent="0.25">
      <c r="BP722" s="6"/>
      <c r="BQ722" s="7"/>
      <c r="BR722" s="1"/>
      <c r="BS722" s="1"/>
    </row>
    <row r="723" spans="68:71" ht="15.75" customHeight="1" x14ac:dyDescent="0.25">
      <c r="BP723" s="6"/>
      <c r="BQ723" s="7"/>
      <c r="BR723" s="1"/>
      <c r="BS723" s="1"/>
    </row>
    <row r="724" spans="68:71" ht="15.75" customHeight="1" x14ac:dyDescent="0.25">
      <c r="BP724" s="6"/>
      <c r="BQ724" s="7"/>
      <c r="BR724" s="1"/>
      <c r="BS724" s="1"/>
    </row>
    <row r="725" spans="68:71" ht="15.75" customHeight="1" x14ac:dyDescent="0.25">
      <c r="BP725" s="6"/>
      <c r="BQ725" s="7"/>
      <c r="BR725" s="1"/>
      <c r="BS725" s="1"/>
    </row>
    <row r="726" spans="68:71" ht="15.75" customHeight="1" x14ac:dyDescent="0.25">
      <c r="BP726" s="6"/>
      <c r="BQ726" s="7"/>
      <c r="BR726" s="1"/>
      <c r="BS726" s="1"/>
    </row>
    <row r="727" spans="68:71" ht="15.75" customHeight="1" x14ac:dyDescent="0.25">
      <c r="BP727" s="6"/>
      <c r="BQ727" s="7"/>
      <c r="BR727" s="1"/>
      <c r="BS727" s="1"/>
    </row>
    <row r="728" spans="68:71" ht="15.75" customHeight="1" x14ac:dyDescent="0.25">
      <c r="BP728" s="6"/>
      <c r="BQ728" s="7"/>
      <c r="BR728" s="1"/>
      <c r="BS728" s="1"/>
    </row>
    <row r="729" spans="68:71" ht="15.75" customHeight="1" x14ac:dyDescent="0.25">
      <c r="BP729" s="6"/>
      <c r="BQ729" s="7"/>
      <c r="BR729" s="1"/>
      <c r="BS729" s="1"/>
    </row>
    <row r="730" spans="68:71" ht="15.75" customHeight="1" x14ac:dyDescent="0.25">
      <c r="BP730" s="6"/>
      <c r="BQ730" s="7"/>
      <c r="BR730" s="1"/>
      <c r="BS730" s="1"/>
    </row>
    <row r="731" spans="68:71" ht="15.75" customHeight="1" x14ac:dyDescent="0.25">
      <c r="BP731" s="6"/>
      <c r="BQ731" s="7"/>
      <c r="BR731" s="1"/>
      <c r="BS731" s="1"/>
    </row>
    <row r="732" spans="68:71" ht="15.75" customHeight="1" x14ac:dyDescent="0.25">
      <c r="BP732" s="6"/>
      <c r="BQ732" s="7"/>
      <c r="BR732" s="1"/>
      <c r="BS732" s="1"/>
    </row>
    <row r="733" spans="68:71" ht="15.75" customHeight="1" x14ac:dyDescent="0.25">
      <c r="BP733" s="6"/>
      <c r="BQ733" s="7"/>
      <c r="BR733" s="1"/>
      <c r="BS733" s="1"/>
    </row>
    <row r="734" spans="68:71" ht="15.75" customHeight="1" x14ac:dyDescent="0.25">
      <c r="BP734" s="6"/>
      <c r="BQ734" s="7"/>
      <c r="BR734" s="1"/>
      <c r="BS734" s="1"/>
    </row>
    <row r="735" spans="68:71" ht="15.75" customHeight="1" x14ac:dyDescent="0.25">
      <c r="BP735" s="6"/>
      <c r="BQ735" s="7"/>
      <c r="BR735" s="1"/>
      <c r="BS735" s="1"/>
    </row>
    <row r="736" spans="68:71" ht="15.75" customHeight="1" x14ac:dyDescent="0.25">
      <c r="BP736" s="6"/>
      <c r="BQ736" s="7"/>
      <c r="BR736" s="1"/>
      <c r="BS736" s="1"/>
    </row>
    <row r="737" spans="68:71" ht="15.75" customHeight="1" x14ac:dyDescent="0.25">
      <c r="BP737" s="6"/>
      <c r="BQ737" s="7"/>
      <c r="BR737" s="1"/>
      <c r="BS737" s="1"/>
    </row>
    <row r="738" spans="68:71" ht="15.75" customHeight="1" x14ac:dyDescent="0.25">
      <c r="BP738" s="6"/>
      <c r="BQ738" s="7"/>
      <c r="BR738" s="1"/>
      <c r="BS738" s="1"/>
    </row>
    <row r="739" spans="68:71" ht="15.75" customHeight="1" x14ac:dyDescent="0.25">
      <c r="BP739" s="6"/>
      <c r="BQ739" s="7"/>
      <c r="BR739" s="1"/>
      <c r="BS739" s="1"/>
    </row>
    <row r="740" spans="68:71" ht="15.75" customHeight="1" x14ac:dyDescent="0.25">
      <c r="BP740" s="6"/>
      <c r="BQ740" s="7"/>
      <c r="BR740" s="1"/>
      <c r="BS740" s="1"/>
    </row>
    <row r="741" spans="68:71" ht="15.75" customHeight="1" x14ac:dyDescent="0.25">
      <c r="BP741" s="6"/>
      <c r="BQ741" s="7"/>
      <c r="BR741" s="1"/>
      <c r="BS741" s="1"/>
    </row>
    <row r="742" spans="68:71" ht="15.75" customHeight="1" x14ac:dyDescent="0.25">
      <c r="BP742" s="6"/>
      <c r="BQ742" s="7"/>
      <c r="BR742" s="1"/>
      <c r="BS742" s="1"/>
    </row>
    <row r="743" spans="68:71" ht="15.75" customHeight="1" x14ac:dyDescent="0.25">
      <c r="BP743" s="6"/>
      <c r="BQ743" s="7"/>
      <c r="BR743" s="1"/>
      <c r="BS743" s="1"/>
    </row>
    <row r="744" spans="68:71" ht="15.75" customHeight="1" x14ac:dyDescent="0.25">
      <c r="BP744" s="6"/>
      <c r="BQ744" s="7"/>
      <c r="BR744" s="1"/>
      <c r="BS744" s="1"/>
    </row>
    <row r="745" spans="68:71" ht="15.75" customHeight="1" x14ac:dyDescent="0.25">
      <c r="BP745" s="6"/>
      <c r="BQ745" s="7"/>
      <c r="BR745" s="1"/>
      <c r="BS745" s="1"/>
    </row>
    <row r="746" spans="68:71" ht="15.75" customHeight="1" x14ac:dyDescent="0.25">
      <c r="BP746" s="6"/>
      <c r="BQ746" s="7"/>
      <c r="BR746" s="1"/>
      <c r="BS746" s="1"/>
    </row>
    <row r="747" spans="68:71" ht="15.75" customHeight="1" x14ac:dyDescent="0.25">
      <c r="BP747" s="6"/>
      <c r="BQ747" s="7"/>
      <c r="BR747" s="1"/>
      <c r="BS747" s="1"/>
    </row>
    <row r="748" spans="68:71" ht="15.75" customHeight="1" x14ac:dyDescent="0.25">
      <c r="BP748" s="6"/>
      <c r="BQ748" s="7"/>
      <c r="BR748" s="1"/>
      <c r="BS748" s="1"/>
    </row>
    <row r="749" spans="68:71" ht="15.75" customHeight="1" x14ac:dyDescent="0.25">
      <c r="BP749" s="6"/>
      <c r="BQ749" s="7"/>
      <c r="BR749" s="1"/>
      <c r="BS749" s="1"/>
    </row>
    <row r="750" spans="68:71" ht="15.75" customHeight="1" x14ac:dyDescent="0.25">
      <c r="BP750" s="6"/>
      <c r="BQ750" s="7"/>
      <c r="BR750" s="1"/>
      <c r="BS750" s="1"/>
    </row>
    <row r="751" spans="68:71" ht="15.75" customHeight="1" x14ac:dyDescent="0.25">
      <c r="BP751" s="6"/>
      <c r="BQ751" s="7"/>
      <c r="BR751" s="1"/>
      <c r="BS751" s="1"/>
    </row>
    <row r="752" spans="68:71" ht="15.75" customHeight="1" x14ac:dyDescent="0.25">
      <c r="BP752" s="6"/>
      <c r="BQ752" s="7"/>
      <c r="BR752" s="1"/>
      <c r="BS752" s="1"/>
    </row>
    <row r="753" spans="68:71" ht="15.75" customHeight="1" x14ac:dyDescent="0.25">
      <c r="BP753" s="6"/>
      <c r="BQ753" s="7"/>
      <c r="BR753" s="1"/>
      <c r="BS753" s="1"/>
    </row>
    <row r="754" spans="68:71" ht="15.75" customHeight="1" x14ac:dyDescent="0.25">
      <c r="BP754" s="6"/>
      <c r="BQ754" s="7"/>
      <c r="BR754" s="1"/>
      <c r="BS754" s="1"/>
    </row>
    <row r="755" spans="68:71" ht="15.75" customHeight="1" x14ac:dyDescent="0.25">
      <c r="BP755" s="6"/>
      <c r="BQ755" s="7"/>
      <c r="BR755" s="1"/>
      <c r="BS755" s="1"/>
    </row>
    <row r="756" spans="68:71" ht="15.75" customHeight="1" x14ac:dyDescent="0.25">
      <c r="BP756" s="6"/>
      <c r="BQ756" s="7"/>
      <c r="BR756" s="1"/>
      <c r="BS756" s="1"/>
    </row>
    <row r="757" spans="68:71" ht="15.75" customHeight="1" x14ac:dyDescent="0.25">
      <c r="BP757" s="6"/>
      <c r="BQ757" s="7"/>
      <c r="BR757" s="1"/>
      <c r="BS757" s="1"/>
    </row>
    <row r="758" spans="68:71" ht="15.75" customHeight="1" x14ac:dyDescent="0.25">
      <c r="BP758" s="6"/>
      <c r="BQ758" s="7"/>
      <c r="BR758" s="1"/>
      <c r="BS758" s="1"/>
    </row>
    <row r="759" spans="68:71" ht="15.75" customHeight="1" x14ac:dyDescent="0.25">
      <c r="BP759" s="6"/>
      <c r="BQ759" s="7"/>
      <c r="BR759" s="1"/>
      <c r="BS759" s="1"/>
    </row>
    <row r="760" spans="68:71" ht="15.75" customHeight="1" x14ac:dyDescent="0.25">
      <c r="BP760" s="6"/>
      <c r="BQ760" s="7"/>
      <c r="BR760" s="1"/>
      <c r="BS760" s="1"/>
    </row>
    <row r="761" spans="68:71" ht="15.75" customHeight="1" x14ac:dyDescent="0.25">
      <c r="BP761" s="6"/>
      <c r="BQ761" s="7"/>
      <c r="BR761" s="1"/>
      <c r="BS761" s="1"/>
    </row>
    <row r="762" spans="68:71" ht="15.75" customHeight="1" x14ac:dyDescent="0.25">
      <c r="BP762" s="6"/>
      <c r="BQ762" s="7"/>
      <c r="BR762" s="1"/>
      <c r="BS762" s="1"/>
    </row>
    <row r="763" spans="68:71" ht="15.75" customHeight="1" x14ac:dyDescent="0.25">
      <c r="BP763" s="6"/>
      <c r="BQ763" s="7"/>
      <c r="BR763" s="1"/>
      <c r="BS763" s="1"/>
    </row>
    <row r="764" spans="68:71" ht="15.75" customHeight="1" x14ac:dyDescent="0.25">
      <c r="BP764" s="6"/>
      <c r="BQ764" s="7"/>
      <c r="BR764" s="1"/>
      <c r="BS764" s="1"/>
    </row>
    <row r="765" spans="68:71" ht="15.75" customHeight="1" x14ac:dyDescent="0.25">
      <c r="BP765" s="6"/>
      <c r="BQ765" s="7"/>
      <c r="BR765" s="1"/>
      <c r="BS765" s="1"/>
    </row>
    <row r="766" spans="68:71" ht="15.75" customHeight="1" x14ac:dyDescent="0.25">
      <c r="BP766" s="6"/>
      <c r="BQ766" s="7"/>
      <c r="BR766" s="1"/>
      <c r="BS766" s="1"/>
    </row>
    <row r="767" spans="68:71" ht="15.75" customHeight="1" x14ac:dyDescent="0.25">
      <c r="BP767" s="6"/>
      <c r="BQ767" s="7"/>
      <c r="BR767" s="1"/>
      <c r="BS767" s="1"/>
    </row>
    <row r="768" spans="68:71" ht="15.75" customHeight="1" x14ac:dyDescent="0.25">
      <c r="BP768" s="6"/>
      <c r="BQ768" s="7"/>
      <c r="BR768" s="1"/>
      <c r="BS768" s="1"/>
    </row>
    <row r="769" spans="68:71" ht="15.75" customHeight="1" x14ac:dyDescent="0.25">
      <c r="BP769" s="6"/>
      <c r="BQ769" s="7"/>
      <c r="BR769" s="1"/>
      <c r="BS769" s="1"/>
    </row>
    <row r="770" spans="68:71" ht="15.75" customHeight="1" x14ac:dyDescent="0.25">
      <c r="BP770" s="6"/>
      <c r="BQ770" s="7"/>
      <c r="BR770" s="1"/>
      <c r="BS770" s="1"/>
    </row>
    <row r="771" spans="68:71" ht="15.75" customHeight="1" x14ac:dyDescent="0.25">
      <c r="BP771" s="6"/>
      <c r="BQ771" s="7"/>
      <c r="BR771" s="1"/>
      <c r="BS771" s="1"/>
    </row>
    <row r="772" spans="68:71" ht="15.75" customHeight="1" x14ac:dyDescent="0.25">
      <c r="BP772" s="6"/>
      <c r="BQ772" s="7"/>
      <c r="BR772" s="1"/>
      <c r="BS772" s="1"/>
    </row>
    <row r="773" spans="68:71" ht="15.75" customHeight="1" x14ac:dyDescent="0.25">
      <c r="BP773" s="6"/>
      <c r="BQ773" s="7"/>
      <c r="BR773" s="1"/>
      <c r="BS773" s="1"/>
    </row>
    <row r="774" spans="68:71" ht="15.75" customHeight="1" x14ac:dyDescent="0.25">
      <c r="BP774" s="6"/>
      <c r="BQ774" s="7"/>
      <c r="BR774" s="1"/>
      <c r="BS774" s="1"/>
    </row>
    <row r="775" spans="68:71" ht="15.75" customHeight="1" x14ac:dyDescent="0.25">
      <c r="BP775" s="6"/>
      <c r="BQ775" s="7"/>
      <c r="BR775" s="1"/>
      <c r="BS775" s="1"/>
    </row>
    <row r="776" spans="68:71" ht="15.75" customHeight="1" x14ac:dyDescent="0.25">
      <c r="BP776" s="6"/>
      <c r="BQ776" s="7"/>
      <c r="BR776" s="1"/>
      <c r="BS776" s="1"/>
    </row>
    <row r="777" spans="68:71" ht="15.75" customHeight="1" x14ac:dyDescent="0.25">
      <c r="BP777" s="6"/>
      <c r="BQ777" s="7"/>
      <c r="BR777" s="1"/>
      <c r="BS777" s="1"/>
    </row>
    <row r="778" spans="68:71" ht="15.75" customHeight="1" x14ac:dyDescent="0.25">
      <c r="BP778" s="6"/>
      <c r="BQ778" s="7"/>
      <c r="BR778" s="1"/>
      <c r="BS778" s="1"/>
    </row>
    <row r="779" spans="68:71" ht="15.75" customHeight="1" x14ac:dyDescent="0.25">
      <c r="BP779" s="6"/>
      <c r="BQ779" s="7"/>
      <c r="BR779" s="1"/>
      <c r="BS779" s="1"/>
    </row>
    <row r="780" spans="68:71" ht="15.75" customHeight="1" x14ac:dyDescent="0.25">
      <c r="BP780" s="6"/>
      <c r="BQ780" s="7"/>
      <c r="BR780" s="1"/>
      <c r="BS780" s="1"/>
    </row>
    <row r="781" spans="68:71" ht="15.75" customHeight="1" x14ac:dyDescent="0.25">
      <c r="BP781" s="6"/>
      <c r="BQ781" s="7"/>
      <c r="BR781" s="1"/>
      <c r="BS781" s="1"/>
    </row>
    <row r="782" spans="68:71" ht="15.75" customHeight="1" x14ac:dyDescent="0.25">
      <c r="BP782" s="6"/>
      <c r="BQ782" s="7"/>
      <c r="BR782" s="1"/>
      <c r="BS782" s="1"/>
    </row>
    <row r="783" spans="68:71" ht="15.75" customHeight="1" x14ac:dyDescent="0.25">
      <c r="BP783" s="6"/>
      <c r="BQ783" s="7"/>
      <c r="BR783" s="1"/>
      <c r="BS783" s="1"/>
    </row>
    <row r="784" spans="68:71" ht="15.75" customHeight="1" x14ac:dyDescent="0.25">
      <c r="BP784" s="6"/>
      <c r="BQ784" s="7"/>
      <c r="BR784" s="1"/>
      <c r="BS784" s="1"/>
    </row>
    <row r="785" spans="68:71" ht="15.75" customHeight="1" x14ac:dyDescent="0.25">
      <c r="BP785" s="6"/>
      <c r="BQ785" s="7"/>
      <c r="BR785" s="1"/>
      <c r="BS785" s="1"/>
    </row>
    <row r="786" spans="68:71" ht="15.75" customHeight="1" x14ac:dyDescent="0.25">
      <c r="BP786" s="6"/>
      <c r="BQ786" s="7"/>
      <c r="BR786" s="1"/>
      <c r="BS786" s="1"/>
    </row>
    <row r="787" spans="68:71" ht="15.75" customHeight="1" x14ac:dyDescent="0.25">
      <c r="BP787" s="6"/>
      <c r="BQ787" s="7"/>
      <c r="BR787" s="1"/>
      <c r="BS787" s="1"/>
    </row>
    <row r="788" spans="68:71" ht="15.75" customHeight="1" x14ac:dyDescent="0.25">
      <c r="BP788" s="6"/>
      <c r="BQ788" s="7"/>
      <c r="BR788" s="1"/>
      <c r="BS788" s="1"/>
    </row>
    <row r="789" spans="68:71" ht="15.75" customHeight="1" x14ac:dyDescent="0.25">
      <c r="BP789" s="6"/>
      <c r="BQ789" s="7"/>
      <c r="BR789" s="1"/>
      <c r="BS789" s="1"/>
    </row>
    <row r="790" spans="68:71" ht="15.75" customHeight="1" x14ac:dyDescent="0.25">
      <c r="BP790" s="6"/>
      <c r="BQ790" s="7"/>
      <c r="BR790" s="1"/>
      <c r="BS790" s="1"/>
    </row>
    <row r="791" spans="68:71" ht="15.75" customHeight="1" x14ac:dyDescent="0.25">
      <c r="BP791" s="6"/>
      <c r="BQ791" s="7"/>
      <c r="BR791" s="1"/>
      <c r="BS791" s="1"/>
    </row>
    <row r="792" spans="68:71" ht="15.75" customHeight="1" x14ac:dyDescent="0.25">
      <c r="BP792" s="6"/>
      <c r="BQ792" s="7"/>
      <c r="BR792" s="1"/>
      <c r="BS792" s="1"/>
    </row>
    <row r="793" spans="68:71" ht="15.75" customHeight="1" x14ac:dyDescent="0.25">
      <c r="BP793" s="6"/>
      <c r="BQ793" s="7"/>
      <c r="BR793" s="1"/>
      <c r="BS793" s="1"/>
    </row>
    <row r="794" spans="68:71" ht="15.75" customHeight="1" x14ac:dyDescent="0.25">
      <c r="BP794" s="6"/>
      <c r="BQ794" s="7"/>
      <c r="BR794" s="1"/>
      <c r="BS794" s="1"/>
    </row>
    <row r="795" spans="68:71" ht="15.75" customHeight="1" x14ac:dyDescent="0.25">
      <c r="BP795" s="6"/>
      <c r="BQ795" s="7"/>
      <c r="BR795" s="1"/>
      <c r="BS795" s="1"/>
    </row>
    <row r="796" spans="68:71" ht="15.75" customHeight="1" x14ac:dyDescent="0.25">
      <c r="BP796" s="6"/>
      <c r="BQ796" s="7"/>
      <c r="BR796" s="1"/>
      <c r="BS796" s="1"/>
    </row>
    <row r="797" spans="68:71" ht="15.75" customHeight="1" x14ac:dyDescent="0.25">
      <c r="BP797" s="6"/>
      <c r="BQ797" s="7"/>
      <c r="BR797" s="1"/>
      <c r="BS797" s="1"/>
    </row>
    <row r="798" spans="68:71" ht="15.75" customHeight="1" x14ac:dyDescent="0.25">
      <c r="BP798" s="6"/>
      <c r="BQ798" s="7"/>
      <c r="BR798" s="1"/>
      <c r="BS798" s="1"/>
    </row>
    <row r="799" spans="68:71" ht="15.75" customHeight="1" x14ac:dyDescent="0.25">
      <c r="BP799" s="6"/>
      <c r="BQ799" s="7"/>
      <c r="BR799" s="1"/>
      <c r="BS799" s="1"/>
    </row>
    <row r="800" spans="68:71" ht="15.75" customHeight="1" x14ac:dyDescent="0.25">
      <c r="BP800" s="6"/>
      <c r="BQ800" s="7"/>
      <c r="BR800" s="1"/>
      <c r="BS800" s="1"/>
    </row>
    <row r="801" spans="68:71" ht="15.75" customHeight="1" x14ac:dyDescent="0.25">
      <c r="BP801" s="6"/>
      <c r="BQ801" s="7"/>
      <c r="BR801" s="1"/>
      <c r="BS801" s="1"/>
    </row>
    <row r="802" spans="68:71" ht="15.75" customHeight="1" x14ac:dyDescent="0.25">
      <c r="BP802" s="6"/>
      <c r="BQ802" s="7"/>
      <c r="BR802" s="1"/>
      <c r="BS802" s="1"/>
    </row>
    <row r="803" spans="68:71" ht="15.75" customHeight="1" x14ac:dyDescent="0.25">
      <c r="BP803" s="6"/>
      <c r="BQ803" s="7"/>
      <c r="BR803" s="1"/>
      <c r="BS803" s="1"/>
    </row>
    <row r="804" spans="68:71" ht="15.75" customHeight="1" x14ac:dyDescent="0.25">
      <c r="BP804" s="6"/>
      <c r="BQ804" s="7"/>
      <c r="BR804" s="1"/>
      <c r="BS804" s="1"/>
    </row>
    <row r="805" spans="68:71" ht="15.75" customHeight="1" x14ac:dyDescent="0.25">
      <c r="BP805" s="6"/>
      <c r="BQ805" s="7"/>
      <c r="BR805" s="1"/>
      <c r="BS805" s="1"/>
    </row>
    <row r="806" spans="68:71" ht="15.75" customHeight="1" x14ac:dyDescent="0.25">
      <c r="BP806" s="6"/>
      <c r="BQ806" s="7"/>
      <c r="BR806" s="1"/>
      <c r="BS806" s="1"/>
    </row>
    <row r="807" spans="68:71" ht="15.75" customHeight="1" x14ac:dyDescent="0.25">
      <c r="BP807" s="6"/>
      <c r="BQ807" s="7"/>
      <c r="BR807" s="1"/>
      <c r="BS807" s="1"/>
    </row>
    <row r="808" spans="68:71" ht="15.75" customHeight="1" x14ac:dyDescent="0.25">
      <c r="BP808" s="6"/>
      <c r="BQ808" s="7"/>
      <c r="BR808" s="1"/>
      <c r="BS808" s="1"/>
    </row>
    <row r="809" spans="68:71" ht="15.75" customHeight="1" x14ac:dyDescent="0.25">
      <c r="BP809" s="6"/>
      <c r="BQ809" s="7"/>
      <c r="BR809" s="1"/>
      <c r="BS809" s="1"/>
    </row>
    <row r="810" spans="68:71" ht="15.75" customHeight="1" x14ac:dyDescent="0.25">
      <c r="BP810" s="6"/>
      <c r="BQ810" s="7"/>
      <c r="BR810" s="1"/>
      <c r="BS810" s="1"/>
    </row>
    <row r="811" spans="68:71" ht="15.75" customHeight="1" x14ac:dyDescent="0.25">
      <c r="BP811" s="6"/>
      <c r="BQ811" s="7"/>
      <c r="BR811" s="1"/>
      <c r="BS811" s="1"/>
    </row>
    <row r="812" spans="68:71" ht="15.75" customHeight="1" x14ac:dyDescent="0.25">
      <c r="BP812" s="6"/>
      <c r="BQ812" s="7"/>
      <c r="BR812" s="1"/>
      <c r="BS812" s="1"/>
    </row>
    <row r="813" spans="68:71" ht="15.75" customHeight="1" x14ac:dyDescent="0.25">
      <c r="BP813" s="6"/>
      <c r="BQ813" s="7"/>
      <c r="BR813" s="1"/>
      <c r="BS813" s="1"/>
    </row>
    <row r="814" spans="68:71" ht="15.75" customHeight="1" x14ac:dyDescent="0.25">
      <c r="BP814" s="6"/>
      <c r="BQ814" s="7"/>
      <c r="BR814" s="1"/>
      <c r="BS814" s="1"/>
    </row>
    <row r="815" spans="68:71" ht="15.75" customHeight="1" x14ac:dyDescent="0.25">
      <c r="BP815" s="6"/>
      <c r="BQ815" s="7"/>
      <c r="BR815" s="1"/>
      <c r="BS815" s="1"/>
    </row>
    <row r="816" spans="68:71" ht="15.75" customHeight="1" x14ac:dyDescent="0.25">
      <c r="BP816" s="6"/>
      <c r="BQ816" s="7"/>
      <c r="BR816" s="1"/>
      <c r="BS816" s="1"/>
    </row>
    <row r="817" spans="68:71" ht="15.75" customHeight="1" x14ac:dyDescent="0.25">
      <c r="BP817" s="6"/>
      <c r="BQ817" s="7"/>
      <c r="BR817" s="1"/>
      <c r="BS817" s="1"/>
    </row>
    <row r="818" spans="68:71" ht="15.75" customHeight="1" x14ac:dyDescent="0.25">
      <c r="BP818" s="6"/>
      <c r="BQ818" s="7"/>
      <c r="BR818" s="1"/>
      <c r="BS818" s="1"/>
    </row>
    <row r="819" spans="68:71" ht="15.75" customHeight="1" x14ac:dyDescent="0.25">
      <c r="BP819" s="6"/>
      <c r="BQ819" s="7"/>
      <c r="BR819" s="1"/>
      <c r="BS819" s="1"/>
    </row>
    <row r="820" spans="68:71" ht="15.75" customHeight="1" x14ac:dyDescent="0.25">
      <c r="BP820" s="6"/>
      <c r="BQ820" s="7"/>
      <c r="BR820" s="1"/>
      <c r="BS820" s="1"/>
    </row>
    <row r="821" spans="68:71" ht="15.75" customHeight="1" x14ac:dyDescent="0.25">
      <c r="BP821" s="6"/>
      <c r="BQ821" s="7"/>
      <c r="BR821" s="1"/>
      <c r="BS821" s="1"/>
    </row>
    <row r="822" spans="68:71" ht="15.75" customHeight="1" x14ac:dyDescent="0.25">
      <c r="BP822" s="6"/>
      <c r="BQ822" s="7"/>
      <c r="BR822" s="1"/>
      <c r="BS822" s="1"/>
    </row>
    <row r="823" spans="68:71" ht="15.75" customHeight="1" x14ac:dyDescent="0.25">
      <c r="BP823" s="6"/>
      <c r="BQ823" s="7"/>
      <c r="BR823" s="1"/>
      <c r="BS823" s="1"/>
    </row>
    <row r="824" spans="68:71" ht="15.75" customHeight="1" x14ac:dyDescent="0.25">
      <c r="BP824" s="6"/>
      <c r="BQ824" s="7"/>
      <c r="BR824" s="1"/>
      <c r="BS824" s="1"/>
    </row>
    <row r="825" spans="68:71" ht="15.75" customHeight="1" x14ac:dyDescent="0.25">
      <c r="BP825" s="6"/>
      <c r="BQ825" s="7"/>
      <c r="BR825" s="1"/>
      <c r="BS825" s="1"/>
    </row>
    <row r="826" spans="68:71" ht="15.75" customHeight="1" x14ac:dyDescent="0.25">
      <c r="BP826" s="6"/>
      <c r="BQ826" s="7"/>
      <c r="BR826" s="1"/>
      <c r="BS826" s="1"/>
    </row>
    <row r="827" spans="68:71" ht="15.75" customHeight="1" x14ac:dyDescent="0.25">
      <c r="BP827" s="6"/>
      <c r="BQ827" s="7"/>
      <c r="BR827" s="1"/>
      <c r="BS827" s="1"/>
    </row>
    <row r="828" spans="68:71" ht="15.75" customHeight="1" x14ac:dyDescent="0.25">
      <c r="BP828" s="6"/>
      <c r="BQ828" s="7"/>
      <c r="BR828" s="1"/>
      <c r="BS828" s="1"/>
    </row>
    <row r="829" spans="68:71" ht="15.75" customHeight="1" x14ac:dyDescent="0.25">
      <c r="BP829" s="6"/>
      <c r="BQ829" s="7"/>
      <c r="BR829" s="1"/>
      <c r="BS829" s="1"/>
    </row>
    <row r="830" spans="68:71" ht="15.75" customHeight="1" x14ac:dyDescent="0.25">
      <c r="BP830" s="6"/>
      <c r="BQ830" s="7"/>
      <c r="BR830" s="1"/>
      <c r="BS830" s="1"/>
    </row>
    <row r="831" spans="68:71" ht="15.75" customHeight="1" x14ac:dyDescent="0.25">
      <c r="BP831" s="6"/>
      <c r="BQ831" s="7"/>
      <c r="BR831" s="1"/>
      <c r="BS831" s="1"/>
    </row>
    <row r="832" spans="68:71" ht="15.75" customHeight="1" x14ac:dyDescent="0.25">
      <c r="BP832" s="6"/>
      <c r="BQ832" s="7"/>
      <c r="BR832" s="1"/>
      <c r="BS832" s="1"/>
    </row>
    <row r="833" spans="68:71" ht="15.75" customHeight="1" x14ac:dyDescent="0.25">
      <c r="BP833" s="6"/>
      <c r="BQ833" s="7"/>
      <c r="BR833" s="1"/>
      <c r="BS833" s="1"/>
    </row>
    <row r="834" spans="68:71" ht="15.75" customHeight="1" x14ac:dyDescent="0.25">
      <c r="BP834" s="6"/>
      <c r="BQ834" s="7"/>
      <c r="BR834" s="1"/>
      <c r="BS834" s="1"/>
    </row>
    <row r="835" spans="68:71" ht="15.75" customHeight="1" x14ac:dyDescent="0.25">
      <c r="BP835" s="6"/>
      <c r="BQ835" s="7"/>
      <c r="BR835" s="1"/>
      <c r="BS835" s="1"/>
    </row>
    <row r="836" spans="68:71" ht="15.75" customHeight="1" x14ac:dyDescent="0.25">
      <c r="BP836" s="6"/>
      <c r="BQ836" s="7"/>
      <c r="BR836" s="1"/>
      <c r="BS836" s="1"/>
    </row>
    <row r="837" spans="68:71" ht="15.75" customHeight="1" x14ac:dyDescent="0.25">
      <c r="BP837" s="6"/>
      <c r="BQ837" s="7"/>
      <c r="BR837" s="1"/>
      <c r="BS837" s="1"/>
    </row>
    <row r="838" spans="68:71" ht="15.75" customHeight="1" x14ac:dyDescent="0.25">
      <c r="BP838" s="6"/>
      <c r="BQ838" s="7"/>
      <c r="BR838" s="1"/>
      <c r="BS838" s="1"/>
    </row>
    <row r="839" spans="68:71" ht="15.75" customHeight="1" x14ac:dyDescent="0.25">
      <c r="BP839" s="6"/>
      <c r="BQ839" s="7"/>
      <c r="BR839" s="1"/>
      <c r="BS839" s="1"/>
    </row>
    <row r="840" spans="68:71" ht="15.75" customHeight="1" x14ac:dyDescent="0.25">
      <c r="BP840" s="6"/>
      <c r="BQ840" s="7"/>
      <c r="BR840" s="1"/>
      <c r="BS840" s="1"/>
    </row>
    <row r="841" spans="68:71" ht="15.75" customHeight="1" x14ac:dyDescent="0.25">
      <c r="BP841" s="6"/>
      <c r="BQ841" s="7"/>
      <c r="BR841" s="1"/>
      <c r="BS841" s="1"/>
    </row>
    <row r="842" spans="68:71" ht="15.75" customHeight="1" x14ac:dyDescent="0.25">
      <c r="BP842" s="6"/>
      <c r="BQ842" s="7"/>
      <c r="BR842" s="1"/>
      <c r="BS842" s="1"/>
    </row>
    <row r="843" spans="68:71" ht="15.75" customHeight="1" x14ac:dyDescent="0.25">
      <c r="BP843" s="6"/>
      <c r="BQ843" s="7"/>
      <c r="BR843" s="1"/>
      <c r="BS843" s="1"/>
    </row>
    <row r="844" spans="68:71" ht="15.75" customHeight="1" x14ac:dyDescent="0.25">
      <c r="BP844" s="6"/>
      <c r="BQ844" s="7"/>
      <c r="BR844" s="1"/>
      <c r="BS844" s="1"/>
    </row>
    <row r="845" spans="68:71" ht="15.75" customHeight="1" x14ac:dyDescent="0.25">
      <c r="BP845" s="6"/>
      <c r="BQ845" s="7"/>
      <c r="BR845" s="1"/>
      <c r="BS845" s="1"/>
    </row>
    <row r="846" spans="68:71" ht="15.75" customHeight="1" x14ac:dyDescent="0.25">
      <c r="BP846" s="6"/>
      <c r="BQ846" s="7"/>
      <c r="BR846" s="1"/>
      <c r="BS846" s="1"/>
    </row>
    <row r="847" spans="68:71" ht="15.75" customHeight="1" x14ac:dyDescent="0.25">
      <c r="BP847" s="6"/>
      <c r="BQ847" s="7"/>
      <c r="BR847" s="1"/>
      <c r="BS847" s="1"/>
    </row>
    <row r="848" spans="68:71" ht="15.75" customHeight="1" x14ac:dyDescent="0.25">
      <c r="BP848" s="6"/>
      <c r="BQ848" s="7"/>
      <c r="BR848" s="1"/>
      <c r="BS848" s="1"/>
    </row>
    <row r="849" spans="68:71" ht="15.75" customHeight="1" x14ac:dyDescent="0.25">
      <c r="BP849" s="6"/>
      <c r="BQ849" s="7"/>
      <c r="BR849" s="1"/>
      <c r="BS849" s="1"/>
    </row>
    <row r="850" spans="68:71" ht="15.75" customHeight="1" x14ac:dyDescent="0.25">
      <c r="BP850" s="6"/>
      <c r="BQ850" s="7"/>
      <c r="BR850" s="1"/>
      <c r="BS850" s="1"/>
    </row>
    <row r="851" spans="68:71" ht="15.75" customHeight="1" x14ac:dyDescent="0.25">
      <c r="BP851" s="6"/>
      <c r="BQ851" s="7"/>
      <c r="BR851" s="1"/>
      <c r="BS851" s="1"/>
    </row>
    <row r="852" spans="68:71" ht="15.75" customHeight="1" x14ac:dyDescent="0.25">
      <c r="BP852" s="6"/>
      <c r="BQ852" s="7"/>
      <c r="BR852" s="1"/>
      <c r="BS852" s="1"/>
    </row>
    <row r="853" spans="68:71" ht="15.75" customHeight="1" x14ac:dyDescent="0.25">
      <c r="BP853" s="6"/>
      <c r="BQ853" s="7"/>
      <c r="BR853" s="1"/>
      <c r="BS853" s="1"/>
    </row>
    <row r="854" spans="68:71" ht="15.75" customHeight="1" x14ac:dyDescent="0.25">
      <c r="BP854" s="6"/>
      <c r="BQ854" s="7"/>
      <c r="BR854" s="1"/>
      <c r="BS854" s="1"/>
    </row>
    <row r="855" spans="68:71" ht="15.75" customHeight="1" x14ac:dyDescent="0.25">
      <c r="BP855" s="6"/>
      <c r="BQ855" s="7"/>
      <c r="BR855" s="1"/>
      <c r="BS855" s="1"/>
    </row>
    <row r="856" spans="68:71" ht="15.75" customHeight="1" x14ac:dyDescent="0.25">
      <c r="BP856" s="6"/>
      <c r="BQ856" s="7"/>
      <c r="BR856" s="1"/>
      <c r="BS856" s="1"/>
    </row>
    <row r="857" spans="68:71" ht="15.75" customHeight="1" x14ac:dyDescent="0.25">
      <c r="BP857" s="6"/>
      <c r="BQ857" s="7"/>
      <c r="BR857" s="1"/>
      <c r="BS857" s="1"/>
    </row>
    <row r="858" spans="68:71" ht="15.75" customHeight="1" x14ac:dyDescent="0.25">
      <c r="BP858" s="6"/>
      <c r="BQ858" s="7"/>
      <c r="BR858" s="1"/>
      <c r="BS858" s="1"/>
    </row>
    <row r="859" spans="68:71" ht="15.75" customHeight="1" x14ac:dyDescent="0.25">
      <c r="BP859" s="6"/>
      <c r="BQ859" s="7"/>
      <c r="BR859" s="1"/>
      <c r="BS859" s="1"/>
    </row>
    <row r="860" spans="68:71" ht="15.75" customHeight="1" x14ac:dyDescent="0.25">
      <c r="BP860" s="6"/>
      <c r="BQ860" s="7"/>
      <c r="BR860" s="1"/>
      <c r="BS860" s="1"/>
    </row>
    <row r="861" spans="68:71" ht="15.75" customHeight="1" x14ac:dyDescent="0.25">
      <c r="BP861" s="6"/>
      <c r="BQ861" s="7"/>
      <c r="BR861" s="1"/>
      <c r="BS861" s="1"/>
    </row>
    <row r="862" spans="68:71" ht="15.75" customHeight="1" x14ac:dyDescent="0.25">
      <c r="BP862" s="6"/>
      <c r="BQ862" s="7"/>
      <c r="BR862" s="1"/>
      <c r="BS862" s="1"/>
    </row>
    <row r="863" spans="68:71" ht="15.75" customHeight="1" x14ac:dyDescent="0.25">
      <c r="BP863" s="6"/>
      <c r="BQ863" s="7"/>
      <c r="BR863" s="1"/>
      <c r="BS863" s="1"/>
    </row>
    <row r="864" spans="68:71" ht="15.75" customHeight="1" x14ac:dyDescent="0.25">
      <c r="BP864" s="6"/>
      <c r="BQ864" s="7"/>
      <c r="BR864" s="1"/>
      <c r="BS864" s="1"/>
    </row>
    <row r="865" spans="68:71" ht="15.75" customHeight="1" x14ac:dyDescent="0.25">
      <c r="BP865" s="6"/>
      <c r="BQ865" s="7"/>
      <c r="BR865" s="1"/>
      <c r="BS865" s="1"/>
    </row>
    <row r="866" spans="68:71" ht="15.75" customHeight="1" x14ac:dyDescent="0.25">
      <c r="BP866" s="6"/>
      <c r="BQ866" s="7"/>
      <c r="BR866" s="1"/>
      <c r="BS866" s="1"/>
    </row>
    <row r="867" spans="68:71" ht="15.75" customHeight="1" x14ac:dyDescent="0.25">
      <c r="BP867" s="6"/>
      <c r="BQ867" s="7"/>
      <c r="BR867" s="1"/>
      <c r="BS867" s="1"/>
    </row>
    <row r="868" spans="68:71" ht="15.75" customHeight="1" x14ac:dyDescent="0.25">
      <c r="BP868" s="6"/>
      <c r="BQ868" s="7"/>
      <c r="BR868" s="1"/>
      <c r="BS868" s="1"/>
    </row>
    <row r="869" spans="68:71" ht="15.75" customHeight="1" x14ac:dyDescent="0.25">
      <c r="BP869" s="6"/>
      <c r="BQ869" s="7"/>
      <c r="BR869" s="1"/>
      <c r="BS869" s="1"/>
    </row>
    <row r="870" spans="68:71" ht="15.75" customHeight="1" x14ac:dyDescent="0.25">
      <c r="BP870" s="6"/>
      <c r="BQ870" s="7"/>
      <c r="BR870" s="1"/>
      <c r="BS870" s="1"/>
    </row>
    <row r="871" spans="68:71" ht="15.75" customHeight="1" x14ac:dyDescent="0.25">
      <c r="BP871" s="6"/>
      <c r="BQ871" s="7"/>
      <c r="BR871" s="1"/>
      <c r="BS871" s="1"/>
    </row>
    <row r="872" spans="68:71" ht="15.75" customHeight="1" x14ac:dyDescent="0.25">
      <c r="BP872" s="6"/>
      <c r="BQ872" s="7"/>
      <c r="BR872" s="1"/>
      <c r="BS872" s="1"/>
    </row>
    <row r="873" spans="68:71" ht="15.75" customHeight="1" x14ac:dyDescent="0.25">
      <c r="BP873" s="6"/>
      <c r="BQ873" s="7"/>
      <c r="BR873" s="1"/>
      <c r="BS873" s="1"/>
    </row>
    <row r="874" spans="68:71" ht="15.75" customHeight="1" x14ac:dyDescent="0.25">
      <c r="BP874" s="6"/>
      <c r="BQ874" s="7"/>
      <c r="BR874" s="1"/>
      <c r="BS874" s="1"/>
    </row>
    <row r="875" spans="68:71" ht="15.75" customHeight="1" x14ac:dyDescent="0.25">
      <c r="BP875" s="6"/>
      <c r="BQ875" s="7"/>
      <c r="BR875" s="1"/>
      <c r="BS875" s="1"/>
    </row>
    <row r="876" spans="68:71" ht="15.75" customHeight="1" x14ac:dyDescent="0.25">
      <c r="BP876" s="6"/>
      <c r="BQ876" s="7"/>
      <c r="BR876" s="1"/>
      <c r="BS876" s="1"/>
    </row>
    <row r="877" spans="68:71" ht="15.75" customHeight="1" x14ac:dyDescent="0.25">
      <c r="BP877" s="6"/>
      <c r="BQ877" s="7"/>
      <c r="BR877" s="1"/>
      <c r="BS877" s="1"/>
    </row>
    <row r="878" spans="68:71" ht="15.75" customHeight="1" x14ac:dyDescent="0.25">
      <c r="BP878" s="6"/>
      <c r="BQ878" s="7"/>
      <c r="BR878" s="1"/>
      <c r="BS878" s="1"/>
    </row>
    <row r="879" spans="68:71" ht="15.75" customHeight="1" x14ac:dyDescent="0.25">
      <c r="BP879" s="6"/>
      <c r="BQ879" s="7"/>
      <c r="BR879" s="1"/>
      <c r="BS879" s="1"/>
    </row>
    <row r="880" spans="68:71" ht="15.75" customHeight="1" x14ac:dyDescent="0.25">
      <c r="BP880" s="6"/>
      <c r="BQ880" s="7"/>
      <c r="BR880" s="1"/>
      <c r="BS880" s="1"/>
    </row>
    <row r="881" spans="68:71" ht="15.75" customHeight="1" x14ac:dyDescent="0.25">
      <c r="BP881" s="6"/>
      <c r="BQ881" s="7"/>
      <c r="BR881" s="1"/>
      <c r="BS881" s="1"/>
    </row>
    <row r="882" spans="68:71" ht="15.75" customHeight="1" x14ac:dyDescent="0.25">
      <c r="BP882" s="6"/>
      <c r="BQ882" s="7"/>
      <c r="BR882" s="1"/>
      <c r="BS882" s="1"/>
    </row>
    <row r="883" spans="68:71" ht="15.75" customHeight="1" x14ac:dyDescent="0.25">
      <c r="BP883" s="6"/>
      <c r="BQ883" s="7"/>
      <c r="BR883" s="1"/>
      <c r="BS883" s="1"/>
    </row>
    <row r="884" spans="68:71" ht="15.75" customHeight="1" x14ac:dyDescent="0.25">
      <c r="BP884" s="6"/>
      <c r="BQ884" s="7"/>
      <c r="BR884" s="1"/>
      <c r="BS884" s="1"/>
    </row>
    <row r="885" spans="68:71" ht="15.75" customHeight="1" x14ac:dyDescent="0.25">
      <c r="BP885" s="6"/>
      <c r="BQ885" s="7"/>
      <c r="BR885" s="1"/>
      <c r="BS885" s="1"/>
    </row>
    <row r="886" spans="68:71" ht="15.75" customHeight="1" x14ac:dyDescent="0.25">
      <c r="BP886" s="6"/>
      <c r="BQ886" s="7"/>
      <c r="BR886" s="1"/>
      <c r="BS886" s="1"/>
    </row>
    <row r="887" spans="68:71" ht="15.75" customHeight="1" x14ac:dyDescent="0.25">
      <c r="BP887" s="6"/>
      <c r="BQ887" s="7"/>
      <c r="BR887" s="1"/>
      <c r="BS887" s="1"/>
    </row>
    <row r="888" spans="68:71" ht="15.75" customHeight="1" x14ac:dyDescent="0.25">
      <c r="BP888" s="6"/>
      <c r="BQ888" s="7"/>
      <c r="BR888" s="1"/>
      <c r="BS888" s="1"/>
    </row>
    <row r="889" spans="68:71" ht="15.75" customHeight="1" x14ac:dyDescent="0.25">
      <c r="BP889" s="6"/>
      <c r="BQ889" s="7"/>
      <c r="BR889" s="1"/>
      <c r="BS889" s="1"/>
    </row>
    <row r="890" spans="68:71" ht="15.75" customHeight="1" x14ac:dyDescent="0.25">
      <c r="BP890" s="6"/>
      <c r="BQ890" s="7"/>
      <c r="BR890" s="1"/>
      <c r="BS890" s="1"/>
    </row>
    <row r="891" spans="68:71" ht="15.75" customHeight="1" x14ac:dyDescent="0.25">
      <c r="BP891" s="6"/>
      <c r="BQ891" s="7"/>
      <c r="BR891" s="1"/>
      <c r="BS891" s="1"/>
    </row>
    <row r="892" spans="68:71" ht="15.75" customHeight="1" x14ac:dyDescent="0.25">
      <c r="BP892" s="6"/>
      <c r="BQ892" s="7"/>
      <c r="BR892" s="1"/>
      <c r="BS892" s="1"/>
    </row>
    <row r="893" spans="68:71" ht="15.75" customHeight="1" x14ac:dyDescent="0.25">
      <c r="BP893" s="6"/>
      <c r="BQ893" s="7"/>
      <c r="BR893" s="1"/>
      <c r="BS893" s="1"/>
    </row>
    <row r="894" spans="68:71" ht="15.75" customHeight="1" x14ac:dyDescent="0.25">
      <c r="BP894" s="6"/>
      <c r="BQ894" s="7"/>
      <c r="BR894" s="1"/>
      <c r="BS894" s="1"/>
    </row>
    <row r="895" spans="68:71" ht="15.75" customHeight="1" x14ac:dyDescent="0.25">
      <c r="BP895" s="6"/>
      <c r="BQ895" s="7"/>
      <c r="BR895" s="1"/>
      <c r="BS895" s="1"/>
    </row>
    <row r="896" spans="68:71" ht="15.75" customHeight="1" x14ac:dyDescent="0.25">
      <c r="BP896" s="6"/>
      <c r="BQ896" s="7"/>
      <c r="BR896" s="1"/>
      <c r="BS896" s="1"/>
    </row>
    <row r="897" spans="68:71" ht="15.75" customHeight="1" x14ac:dyDescent="0.25">
      <c r="BP897" s="6"/>
      <c r="BQ897" s="7"/>
      <c r="BR897" s="1"/>
      <c r="BS897" s="1"/>
    </row>
    <row r="898" spans="68:71" ht="15.75" customHeight="1" x14ac:dyDescent="0.25">
      <c r="BP898" s="6"/>
      <c r="BQ898" s="7"/>
      <c r="BR898" s="1"/>
      <c r="BS898" s="1"/>
    </row>
    <row r="899" spans="68:71" ht="15.75" customHeight="1" x14ac:dyDescent="0.25">
      <c r="BP899" s="6"/>
      <c r="BQ899" s="7"/>
      <c r="BR899" s="1"/>
      <c r="BS899" s="1"/>
    </row>
    <row r="900" spans="68:71" ht="15.75" customHeight="1" x14ac:dyDescent="0.25">
      <c r="BP900" s="6"/>
      <c r="BQ900" s="7"/>
      <c r="BR900" s="1"/>
      <c r="BS900" s="1"/>
    </row>
    <row r="901" spans="68:71" ht="15.75" customHeight="1" x14ac:dyDescent="0.25">
      <c r="BP901" s="6"/>
      <c r="BQ901" s="7"/>
      <c r="BR901" s="1"/>
      <c r="BS901" s="1"/>
    </row>
    <row r="902" spans="68:71" ht="15.75" customHeight="1" x14ac:dyDescent="0.25">
      <c r="BP902" s="6"/>
      <c r="BQ902" s="7"/>
      <c r="BR902" s="1"/>
      <c r="BS902" s="1"/>
    </row>
    <row r="903" spans="68:71" ht="15.75" customHeight="1" x14ac:dyDescent="0.25">
      <c r="BP903" s="6"/>
      <c r="BQ903" s="7"/>
      <c r="BR903" s="1"/>
      <c r="BS903" s="1"/>
    </row>
    <row r="904" spans="68:71" ht="15.75" customHeight="1" x14ac:dyDescent="0.25">
      <c r="BP904" s="6"/>
      <c r="BQ904" s="7"/>
      <c r="BR904" s="1"/>
      <c r="BS904" s="1"/>
    </row>
    <row r="905" spans="68:71" ht="15.75" customHeight="1" x14ac:dyDescent="0.25">
      <c r="BP905" s="6"/>
      <c r="BQ905" s="7"/>
      <c r="BR905" s="1"/>
      <c r="BS905" s="1"/>
    </row>
    <row r="906" spans="68:71" ht="15.75" customHeight="1" x14ac:dyDescent="0.25">
      <c r="BP906" s="6"/>
      <c r="BQ906" s="7"/>
      <c r="BR906" s="1"/>
      <c r="BS906" s="1"/>
    </row>
    <row r="907" spans="68:71" ht="15.75" customHeight="1" x14ac:dyDescent="0.25">
      <c r="BP907" s="6"/>
      <c r="BQ907" s="7"/>
      <c r="BR907" s="1"/>
      <c r="BS907" s="1"/>
    </row>
    <row r="908" spans="68:71" ht="15.75" customHeight="1" x14ac:dyDescent="0.25">
      <c r="BP908" s="6"/>
      <c r="BQ908" s="7"/>
      <c r="BR908" s="1"/>
      <c r="BS908" s="1"/>
    </row>
    <row r="909" spans="68:71" ht="15.75" customHeight="1" x14ac:dyDescent="0.25">
      <c r="BP909" s="6"/>
      <c r="BQ909" s="7"/>
      <c r="BR909" s="1"/>
      <c r="BS909" s="1"/>
    </row>
    <row r="910" spans="68:71" ht="15.75" customHeight="1" x14ac:dyDescent="0.25">
      <c r="BP910" s="6"/>
      <c r="BQ910" s="7"/>
      <c r="BR910" s="1"/>
      <c r="BS910" s="1"/>
    </row>
    <row r="911" spans="68:71" ht="15.75" customHeight="1" x14ac:dyDescent="0.25">
      <c r="BP911" s="6"/>
      <c r="BQ911" s="7"/>
      <c r="BR911" s="1"/>
      <c r="BS911" s="1"/>
    </row>
    <row r="912" spans="68:71" ht="15.75" customHeight="1" x14ac:dyDescent="0.25">
      <c r="BP912" s="6"/>
      <c r="BQ912" s="7"/>
      <c r="BR912" s="1"/>
      <c r="BS912" s="1"/>
    </row>
    <row r="913" spans="68:71" ht="15.75" customHeight="1" x14ac:dyDescent="0.25">
      <c r="BP913" s="6"/>
      <c r="BQ913" s="7"/>
      <c r="BR913" s="1"/>
      <c r="BS913" s="1"/>
    </row>
    <row r="914" spans="68:71" ht="15.75" customHeight="1" x14ac:dyDescent="0.25">
      <c r="BP914" s="6"/>
      <c r="BQ914" s="7"/>
      <c r="BR914" s="1"/>
      <c r="BS914" s="1"/>
    </row>
    <row r="915" spans="68:71" ht="15.75" customHeight="1" x14ac:dyDescent="0.25">
      <c r="BP915" s="6"/>
      <c r="BQ915" s="7"/>
      <c r="BR915" s="1"/>
      <c r="BS915" s="1"/>
    </row>
    <row r="916" spans="68:71" ht="15.75" customHeight="1" x14ac:dyDescent="0.25">
      <c r="BP916" s="6"/>
      <c r="BQ916" s="7"/>
      <c r="BR916" s="1"/>
      <c r="BS916" s="1"/>
    </row>
    <row r="917" spans="68:71" ht="15.75" customHeight="1" x14ac:dyDescent="0.25">
      <c r="BP917" s="6"/>
      <c r="BQ917" s="7"/>
      <c r="BR917" s="1"/>
      <c r="BS917" s="1"/>
    </row>
    <row r="918" spans="68:71" ht="15.75" customHeight="1" x14ac:dyDescent="0.25">
      <c r="BP918" s="6"/>
      <c r="BQ918" s="7"/>
      <c r="BR918" s="1"/>
      <c r="BS918" s="1"/>
    </row>
    <row r="919" spans="68:71" ht="15.75" customHeight="1" x14ac:dyDescent="0.25">
      <c r="BP919" s="6"/>
      <c r="BQ919" s="7"/>
      <c r="BR919" s="1"/>
      <c r="BS919" s="1"/>
    </row>
    <row r="920" spans="68:71" ht="15.75" customHeight="1" x14ac:dyDescent="0.25">
      <c r="BP920" s="6"/>
      <c r="BQ920" s="7"/>
      <c r="BR920" s="1"/>
      <c r="BS920" s="1"/>
    </row>
    <row r="921" spans="68:71" ht="15.75" customHeight="1" x14ac:dyDescent="0.25">
      <c r="BP921" s="6"/>
      <c r="BQ921" s="7"/>
      <c r="BR921" s="1"/>
      <c r="BS921" s="1"/>
    </row>
    <row r="922" spans="68:71" ht="15.75" customHeight="1" x14ac:dyDescent="0.25">
      <c r="BP922" s="6"/>
      <c r="BQ922" s="7"/>
      <c r="BR922" s="1"/>
      <c r="BS922" s="1"/>
    </row>
    <row r="923" spans="68:71" ht="15.75" customHeight="1" x14ac:dyDescent="0.25">
      <c r="BP923" s="6"/>
      <c r="BQ923" s="7"/>
      <c r="BR923" s="1"/>
      <c r="BS923" s="1"/>
    </row>
    <row r="924" spans="68:71" ht="15.75" customHeight="1" x14ac:dyDescent="0.25">
      <c r="BP924" s="6"/>
      <c r="BQ924" s="7"/>
      <c r="BR924" s="1"/>
      <c r="BS924" s="1"/>
    </row>
    <row r="925" spans="68:71" ht="15.75" customHeight="1" x14ac:dyDescent="0.25">
      <c r="BP925" s="6"/>
      <c r="BQ925" s="7"/>
      <c r="BR925" s="1"/>
      <c r="BS925" s="1"/>
    </row>
    <row r="926" spans="68:71" ht="15.75" customHeight="1" x14ac:dyDescent="0.25">
      <c r="BP926" s="6"/>
      <c r="BQ926" s="7"/>
      <c r="BR926" s="1"/>
      <c r="BS926" s="1"/>
    </row>
    <row r="927" spans="68:71" ht="15.75" customHeight="1" x14ac:dyDescent="0.25">
      <c r="BP927" s="6"/>
      <c r="BQ927" s="7"/>
      <c r="BR927" s="1"/>
      <c r="BS927" s="1"/>
    </row>
    <row r="928" spans="68:71" ht="15.75" customHeight="1" x14ac:dyDescent="0.25">
      <c r="BP928" s="6"/>
      <c r="BQ928" s="7"/>
      <c r="BR928" s="1"/>
      <c r="BS928" s="1"/>
    </row>
    <row r="929" spans="68:71" ht="15.75" customHeight="1" x14ac:dyDescent="0.25">
      <c r="BP929" s="6"/>
      <c r="BQ929" s="7"/>
      <c r="BR929" s="1"/>
      <c r="BS929" s="1"/>
    </row>
    <row r="930" spans="68:71" ht="15.75" customHeight="1" x14ac:dyDescent="0.25">
      <c r="BP930" s="6"/>
      <c r="BQ930" s="7"/>
      <c r="BR930" s="1"/>
      <c r="BS930" s="1"/>
    </row>
    <row r="931" spans="68:71" ht="15.75" customHeight="1" x14ac:dyDescent="0.25">
      <c r="BP931" s="6"/>
      <c r="BQ931" s="7"/>
      <c r="BR931" s="1"/>
      <c r="BS931" s="1"/>
    </row>
    <row r="932" spans="68:71" ht="15.75" customHeight="1" x14ac:dyDescent="0.25">
      <c r="BP932" s="6"/>
      <c r="BQ932" s="7"/>
      <c r="BR932" s="1"/>
      <c r="BS932" s="1"/>
    </row>
    <row r="933" spans="68:71" ht="15.75" customHeight="1" x14ac:dyDescent="0.25">
      <c r="BP933" s="6"/>
      <c r="BQ933" s="7"/>
      <c r="BR933" s="1"/>
      <c r="BS933" s="1"/>
    </row>
    <row r="934" spans="68:71" ht="15.75" customHeight="1" x14ac:dyDescent="0.25">
      <c r="BP934" s="6"/>
      <c r="BQ934" s="7"/>
      <c r="BR934" s="1"/>
      <c r="BS934" s="1"/>
    </row>
    <row r="935" spans="68:71" ht="15.75" customHeight="1" x14ac:dyDescent="0.25">
      <c r="BP935" s="6"/>
      <c r="BQ935" s="7"/>
      <c r="BR935" s="1"/>
      <c r="BS935" s="1"/>
    </row>
    <row r="936" spans="68:71" ht="15.75" customHeight="1" x14ac:dyDescent="0.25">
      <c r="BP936" s="6"/>
      <c r="BQ936" s="7"/>
      <c r="BR936" s="1"/>
      <c r="BS936" s="1"/>
    </row>
    <row r="937" spans="68:71" ht="15.75" customHeight="1" x14ac:dyDescent="0.25">
      <c r="BP937" s="6"/>
      <c r="BQ937" s="7"/>
      <c r="BR937" s="1"/>
      <c r="BS937" s="1"/>
    </row>
    <row r="938" spans="68:71" ht="15.75" customHeight="1" x14ac:dyDescent="0.25">
      <c r="BP938" s="6"/>
      <c r="BQ938" s="7"/>
      <c r="BR938" s="1"/>
      <c r="BS938" s="1"/>
    </row>
    <row r="939" spans="68:71" ht="15.75" customHeight="1" x14ac:dyDescent="0.25">
      <c r="BP939" s="6"/>
      <c r="BQ939" s="7"/>
      <c r="BR939" s="1"/>
      <c r="BS939" s="1"/>
    </row>
    <row r="940" spans="68:71" ht="15.75" customHeight="1" x14ac:dyDescent="0.25">
      <c r="BP940" s="6"/>
      <c r="BQ940" s="7"/>
      <c r="BR940" s="1"/>
      <c r="BS940" s="1"/>
    </row>
    <row r="941" spans="68:71" ht="15.75" customHeight="1" x14ac:dyDescent="0.25">
      <c r="BP941" s="6"/>
      <c r="BQ941" s="7"/>
      <c r="BR941" s="1"/>
      <c r="BS941" s="1"/>
    </row>
    <row r="942" spans="68:71" ht="15.75" customHeight="1" x14ac:dyDescent="0.25">
      <c r="BP942" s="6"/>
      <c r="BQ942" s="7"/>
      <c r="BR942" s="1"/>
      <c r="BS942" s="1"/>
    </row>
    <row r="943" spans="68:71" ht="15.75" customHeight="1" x14ac:dyDescent="0.25">
      <c r="BP943" s="6"/>
      <c r="BQ943" s="7"/>
      <c r="BR943" s="1"/>
      <c r="BS943" s="1"/>
    </row>
    <row r="944" spans="68:71" ht="15.75" customHeight="1" x14ac:dyDescent="0.25">
      <c r="BP944" s="6"/>
      <c r="BQ944" s="7"/>
      <c r="BR944" s="1"/>
      <c r="BS944" s="1"/>
    </row>
    <row r="945" spans="68:71" ht="15.75" customHeight="1" x14ac:dyDescent="0.25">
      <c r="BP945" s="6"/>
      <c r="BQ945" s="7"/>
      <c r="BR945" s="1"/>
      <c r="BS945" s="1"/>
    </row>
    <row r="946" spans="68:71" ht="15.75" customHeight="1" x14ac:dyDescent="0.25">
      <c r="BP946" s="6"/>
      <c r="BQ946" s="7"/>
      <c r="BR946" s="1"/>
      <c r="BS946" s="1"/>
    </row>
    <row r="947" spans="68:71" ht="15.75" customHeight="1" x14ac:dyDescent="0.25">
      <c r="BP947" s="6"/>
      <c r="BQ947" s="7"/>
      <c r="BR947" s="1"/>
      <c r="BS947" s="1"/>
    </row>
    <row r="948" spans="68:71" ht="15.75" customHeight="1" x14ac:dyDescent="0.25">
      <c r="BP948" s="6"/>
      <c r="BQ948" s="7"/>
      <c r="BR948" s="1"/>
      <c r="BS948" s="1"/>
    </row>
    <row r="949" spans="68:71" ht="15.75" customHeight="1" x14ac:dyDescent="0.25">
      <c r="BP949" s="6"/>
      <c r="BQ949" s="7"/>
      <c r="BR949" s="1"/>
      <c r="BS949" s="1"/>
    </row>
    <row r="950" spans="68:71" ht="15.75" customHeight="1" x14ac:dyDescent="0.25">
      <c r="BP950" s="6"/>
      <c r="BQ950" s="7"/>
      <c r="BR950" s="1"/>
      <c r="BS950" s="1"/>
    </row>
    <row r="951" spans="68:71" ht="15.75" customHeight="1" x14ac:dyDescent="0.25">
      <c r="BP951" s="6"/>
      <c r="BQ951" s="7"/>
      <c r="BR951" s="1"/>
      <c r="BS951" s="1"/>
    </row>
    <row r="952" spans="68:71" ht="15.75" customHeight="1" x14ac:dyDescent="0.25">
      <c r="BP952" s="6"/>
      <c r="BQ952" s="7"/>
      <c r="BR952" s="1"/>
      <c r="BS952" s="1"/>
    </row>
    <row r="953" spans="68:71" ht="15.75" customHeight="1" x14ac:dyDescent="0.25">
      <c r="BP953" s="6"/>
      <c r="BQ953" s="7"/>
      <c r="BR953" s="1"/>
      <c r="BS953" s="1"/>
    </row>
    <row r="954" spans="68:71" ht="15.75" customHeight="1" x14ac:dyDescent="0.25">
      <c r="BP954" s="6"/>
      <c r="BQ954" s="7"/>
      <c r="BR954" s="1"/>
      <c r="BS954" s="1"/>
    </row>
    <row r="955" spans="68:71" ht="15.75" customHeight="1" x14ac:dyDescent="0.25">
      <c r="BP955" s="6"/>
      <c r="BQ955" s="7"/>
      <c r="BR955" s="1"/>
      <c r="BS955" s="1"/>
    </row>
    <row r="956" spans="68:71" ht="15.75" customHeight="1" x14ac:dyDescent="0.25">
      <c r="BP956" s="6"/>
      <c r="BQ956" s="7"/>
      <c r="BR956" s="1"/>
      <c r="BS956" s="1"/>
    </row>
    <row r="957" spans="68:71" ht="15.75" customHeight="1" x14ac:dyDescent="0.25">
      <c r="BP957" s="6"/>
      <c r="BQ957" s="7"/>
      <c r="BR957" s="1"/>
      <c r="BS957" s="1"/>
    </row>
    <row r="958" spans="68:71" ht="15.75" customHeight="1" x14ac:dyDescent="0.25">
      <c r="BP958" s="6"/>
      <c r="BQ958" s="7"/>
      <c r="BR958" s="1"/>
      <c r="BS958" s="1"/>
    </row>
    <row r="959" spans="68:71" ht="15.75" customHeight="1" x14ac:dyDescent="0.25">
      <c r="BP959" s="6"/>
      <c r="BQ959" s="7"/>
      <c r="BR959" s="1"/>
      <c r="BS959" s="1"/>
    </row>
    <row r="960" spans="68:71" ht="15.75" customHeight="1" x14ac:dyDescent="0.25">
      <c r="BP960" s="6"/>
      <c r="BQ960" s="7"/>
      <c r="BR960" s="1"/>
      <c r="BS960" s="1"/>
    </row>
    <row r="961" spans="68:71" ht="15.75" customHeight="1" x14ac:dyDescent="0.25">
      <c r="BP961" s="6"/>
      <c r="BQ961" s="7"/>
      <c r="BR961" s="1"/>
      <c r="BS961" s="1"/>
    </row>
    <row r="962" spans="68:71" ht="15.75" customHeight="1" x14ac:dyDescent="0.25">
      <c r="BP962" s="6"/>
      <c r="BQ962" s="7"/>
      <c r="BR962" s="1"/>
      <c r="BS962" s="1"/>
    </row>
    <row r="963" spans="68:71" ht="15.75" customHeight="1" x14ac:dyDescent="0.25">
      <c r="BP963" s="6"/>
      <c r="BQ963" s="7"/>
      <c r="BR963" s="1"/>
      <c r="BS963" s="1"/>
    </row>
    <row r="964" spans="68:71" ht="15.75" customHeight="1" x14ac:dyDescent="0.25">
      <c r="BP964" s="6"/>
      <c r="BQ964" s="7"/>
      <c r="BR964" s="1"/>
      <c r="BS964" s="1"/>
    </row>
    <row r="965" spans="68:71" ht="15.75" customHeight="1" x14ac:dyDescent="0.25">
      <c r="BP965" s="6"/>
      <c r="BQ965" s="7"/>
      <c r="BR965" s="1"/>
      <c r="BS965" s="1"/>
    </row>
    <row r="966" spans="68:71" ht="15.75" customHeight="1" x14ac:dyDescent="0.25">
      <c r="BP966" s="6"/>
      <c r="BQ966" s="7"/>
      <c r="BR966" s="1"/>
      <c r="BS966" s="1"/>
    </row>
    <row r="967" spans="68:71" ht="15.75" customHeight="1" x14ac:dyDescent="0.25">
      <c r="BP967" s="6"/>
      <c r="BQ967" s="7"/>
      <c r="BR967" s="1"/>
      <c r="BS967" s="1"/>
    </row>
    <row r="968" spans="68:71" ht="15.75" customHeight="1" x14ac:dyDescent="0.25">
      <c r="BP968" s="6"/>
      <c r="BQ968" s="7"/>
      <c r="BR968" s="1"/>
      <c r="BS968" s="1"/>
    </row>
    <row r="969" spans="68:71" ht="15.75" customHeight="1" x14ac:dyDescent="0.25">
      <c r="BP969" s="6"/>
      <c r="BQ969" s="7"/>
      <c r="BR969" s="1"/>
      <c r="BS969" s="1"/>
    </row>
    <row r="970" spans="68:71" ht="15.75" customHeight="1" x14ac:dyDescent="0.25">
      <c r="BP970" s="6"/>
      <c r="BQ970" s="7"/>
      <c r="BR970" s="1"/>
      <c r="BS970" s="1"/>
    </row>
    <row r="971" spans="68:71" ht="15.75" customHeight="1" x14ac:dyDescent="0.25">
      <c r="BP971" s="6"/>
      <c r="BQ971" s="7"/>
      <c r="BR971" s="1"/>
      <c r="BS971" s="1"/>
    </row>
    <row r="972" spans="68:71" ht="15.75" customHeight="1" x14ac:dyDescent="0.25">
      <c r="BP972" s="6"/>
      <c r="BQ972" s="7"/>
      <c r="BR972" s="1"/>
      <c r="BS972" s="1"/>
    </row>
    <row r="973" spans="68:71" ht="15.75" customHeight="1" x14ac:dyDescent="0.25">
      <c r="BP973" s="6"/>
      <c r="BQ973" s="7"/>
      <c r="BR973" s="1"/>
      <c r="BS973" s="1"/>
    </row>
    <row r="974" spans="68:71" ht="15.75" customHeight="1" x14ac:dyDescent="0.25">
      <c r="BP974" s="6"/>
      <c r="BQ974" s="7"/>
      <c r="BR974" s="1"/>
      <c r="BS974" s="1"/>
    </row>
    <row r="975" spans="68:71" ht="15.75" customHeight="1" x14ac:dyDescent="0.25">
      <c r="BP975" s="6"/>
      <c r="BQ975" s="7"/>
      <c r="BR975" s="1"/>
      <c r="BS975" s="1"/>
    </row>
    <row r="976" spans="68:71" ht="15.75" customHeight="1" x14ac:dyDescent="0.25">
      <c r="BP976" s="6"/>
      <c r="BQ976" s="7"/>
      <c r="BR976" s="1"/>
      <c r="BS976" s="1"/>
    </row>
    <row r="977" spans="68:71" ht="15.75" customHeight="1" x14ac:dyDescent="0.25">
      <c r="BP977" s="6"/>
      <c r="BQ977" s="7"/>
      <c r="BR977" s="1"/>
      <c r="BS977" s="1"/>
    </row>
    <row r="978" spans="68:71" ht="15.75" customHeight="1" x14ac:dyDescent="0.25">
      <c r="BP978" s="6"/>
      <c r="BQ978" s="7"/>
      <c r="BR978" s="1"/>
      <c r="BS978" s="1"/>
    </row>
    <row r="979" spans="68:71" ht="15.75" customHeight="1" x14ac:dyDescent="0.25">
      <c r="BP979" s="6"/>
      <c r="BQ979" s="7"/>
      <c r="BR979" s="1"/>
      <c r="BS979" s="1"/>
    </row>
    <row r="980" spans="68:71" ht="15.75" customHeight="1" x14ac:dyDescent="0.25">
      <c r="BP980" s="6"/>
      <c r="BQ980" s="7"/>
      <c r="BR980" s="1"/>
      <c r="BS980" s="1"/>
    </row>
    <row r="981" spans="68:71" ht="15.75" customHeight="1" x14ac:dyDescent="0.25">
      <c r="BP981" s="6"/>
      <c r="BQ981" s="7"/>
      <c r="BR981" s="1"/>
      <c r="BS981" s="1"/>
    </row>
    <row r="982" spans="68:71" ht="15.75" customHeight="1" x14ac:dyDescent="0.25">
      <c r="BP982" s="6"/>
      <c r="BQ982" s="7"/>
      <c r="BR982" s="1"/>
      <c r="BS982" s="1"/>
    </row>
    <row r="983" spans="68:71" ht="15.75" customHeight="1" x14ac:dyDescent="0.25">
      <c r="BP983" s="6"/>
      <c r="BQ983" s="7"/>
      <c r="BR983" s="1"/>
      <c r="BS983" s="1"/>
    </row>
    <row r="984" spans="68:71" ht="15.75" customHeight="1" x14ac:dyDescent="0.25">
      <c r="BP984" s="6"/>
      <c r="BQ984" s="7"/>
      <c r="BR984" s="1"/>
      <c r="BS984" s="1"/>
    </row>
    <row r="985" spans="68:71" ht="15.75" customHeight="1" x14ac:dyDescent="0.25">
      <c r="BP985" s="6"/>
      <c r="BQ985" s="7"/>
      <c r="BR985" s="1"/>
      <c r="BS985" s="1"/>
    </row>
    <row r="986" spans="68:71" ht="15.75" customHeight="1" x14ac:dyDescent="0.25">
      <c r="BP986" s="6"/>
      <c r="BQ986" s="7"/>
      <c r="BR986" s="1"/>
      <c r="BS986" s="1"/>
    </row>
    <row r="987" spans="68:71" ht="15.75" customHeight="1" x14ac:dyDescent="0.25">
      <c r="BP987" s="6"/>
      <c r="BQ987" s="7"/>
      <c r="BR987" s="1"/>
      <c r="BS987" s="1"/>
    </row>
    <row r="988" spans="68:71" ht="15.75" customHeight="1" x14ac:dyDescent="0.25">
      <c r="BP988" s="6"/>
      <c r="BQ988" s="7"/>
      <c r="BR988" s="1"/>
      <c r="BS988" s="1"/>
    </row>
    <row r="989" spans="68:71" ht="15.75" customHeight="1" x14ac:dyDescent="0.25">
      <c r="BP989" s="6"/>
      <c r="BQ989" s="7"/>
      <c r="BR989" s="1"/>
      <c r="BS989" s="1"/>
    </row>
    <row r="990" spans="68:71" ht="15.75" customHeight="1" x14ac:dyDescent="0.25">
      <c r="BP990" s="6"/>
      <c r="BQ990" s="7"/>
      <c r="BR990" s="1"/>
      <c r="BS990" s="1"/>
    </row>
    <row r="991" spans="68:71" ht="15.75" customHeight="1" x14ac:dyDescent="0.25">
      <c r="BP991" s="6"/>
      <c r="BQ991" s="7"/>
      <c r="BR991" s="1"/>
      <c r="BS991" s="1"/>
    </row>
    <row r="992" spans="68:71" ht="15.75" customHeight="1" x14ac:dyDescent="0.25">
      <c r="BP992" s="6"/>
      <c r="BQ992" s="7"/>
      <c r="BR992" s="1"/>
      <c r="BS992" s="1"/>
    </row>
    <row r="993" spans="68:71" ht="15.75" customHeight="1" x14ac:dyDescent="0.25">
      <c r="BP993" s="6"/>
      <c r="BQ993" s="7"/>
      <c r="BR993" s="1"/>
      <c r="BS993" s="1"/>
    </row>
    <row r="994" spans="68:71" ht="15.75" customHeight="1" x14ac:dyDescent="0.25">
      <c r="BP994" s="6"/>
      <c r="BQ994" s="7"/>
      <c r="BR994" s="1"/>
      <c r="BS994" s="1"/>
    </row>
    <row r="995" spans="68:71" ht="15.75" customHeight="1" x14ac:dyDescent="0.25">
      <c r="BP995" s="6"/>
      <c r="BQ995" s="7"/>
      <c r="BR995" s="1"/>
      <c r="BS995" s="1"/>
    </row>
    <row r="996" spans="68:71" ht="15.75" customHeight="1" x14ac:dyDescent="0.25">
      <c r="BP996" s="6"/>
      <c r="BQ996" s="7"/>
      <c r="BR996" s="1"/>
      <c r="BS996" s="1"/>
    </row>
    <row r="997" spans="68:71" ht="15.75" customHeight="1" x14ac:dyDescent="0.25">
      <c r="BP997" s="6"/>
      <c r="BQ997" s="7"/>
      <c r="BR997" s="1"/>
      <c r="BS997" s="1"/>
    </row>
    <row r="998" spans="68:71" ht="15.75" customHeight="1" x14ac:dyDescent="0.25">
      <c r="BP998" s="6"/>
      <c r="BQ998" s="7"/>
      <c r="BR998" s="1"/>
      <c r="BS998" s="1"/>
    </row>
    <row r="999" spans="68:71" ht="15.75" customHeight="1" x14ac:dyDescent="0.25">
      <c r="BP999" s="6"/>
      <c r="BQ999" s="7"/>
      <c r="BR999" s="1"/>
      <c r="BS999" s="1"/>
    </row>
    <row r="1000" spans="68:71" ht="15.75" customHeight="1" x14ac:dyDescent="0.25">
      <c r="BP1000" s="6"/>
      <c r="BQ1000" s="7"/>
      <c r="BR1000" s="1"/>
      <c r="BS1000" s="1"/>
    </row>
  </sheetData>
  <mergeCells count="5">
    <mergeCell ref="BY1:CJ1"/>
    <mergeCell ref="CK1:CV1"/>
    <mergeCell ref="CW1:DH1"/>
    <mergeCell ref="DI1:DJ1"/>
    <mergeCell ref="DT1:DV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3">
        <v>2016</v>
      </c>
      <c r="E1" s="108"/>
      <c r="F1" s="109"/>
      <c r="G1" s="86"/>
      <c r="H1" s="86"/>
      <c r="I1" s="86"/>
      <c r="J1" s="87"/>
      <c r="K1" s="86"/>
      <c r="L1" s="86"/>
      <c r="M1" s="86"/>
      <c r="N1" s="86"/>
      <c r="O1" s="87"/>
      <c r="P1" s="103">
        <v>2015</v>
      </c>
      <c r="Q1" s="108"/>
      <c r="R1" s="109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opLeftCell="B1" workbookViewId="0">
      <selection activeCell="D25" sqref="D25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96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8">
        <v>2019</v>
      </c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9">
        <v>2018</v>
      </c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100"/>
      <c r="CK1" s="101">
        <v>2017</v>
      </c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102"/>
      <c r="CW1" s="103"/>
      <c r="CX1" s="104"/>
      <c r="CY1" s="31"/>
      <c r="CZ1" s="31"/>
      <c r="DA1" s="31"/>
      <c r="DB1" s="31"/>
      <c r="DC1" s="31"/>
      <c r="DD1" s="86"/>
      <c r="DE1" s="87"/>
      <c r="DF1" s="87"/>
      <c r="DG1" s="87"/>
      <c r="DH1" s="103">
        <v>2015</v>
      </c>
      <c r="DI1" s="104"/>
      <c r="DJ1" s="105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26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8">
        <v>2019</v>
      </c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9">
        <v>2018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100"/>
      <c r="BY1" s="101">
        <v>2017</v>
      </c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102"/>
      <c r="CK1" s="103"/>
      <c r="CL1" s="104"/>
      <c r="CM1" s="31"/>
      <c r="CN1" s="31"/>
      <c r="CO1" s="31"/>
      <c r="CP1" s="31"/>
      <c r="CQ1" s="31"/>
      <c r="CR1" s="86"/>
      <c r="CS1" s="87"/>
      <c r="CT1" s="87"/>
      <c r="CU1" s="87"/>
      <c r="CV1" s="103">
        <v>2015</v>
      </c>
      <c r="CW1" s="104"/>
      <c r="CX1" s="105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8">
        <v>2019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9">
        <v>2018</v>
      </c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100"/>
      <c r="BM1" s="101">
        <v>2017</v>
      </c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102"/>
      <c r="BY1" s="103"/>
      <c r="BZ1" s="104"/>
      <c r="CA1" s="31"/>
      <c r="CB1" s="31"/>
      <c r="CC1" s="31"/>
      <c r="CD1" s="31"/>
      <c r="CE1" s="31"/>
      <c r="CF1" s="86"/>
      <c r="CG1" s="87"/>
      <c r="CH1" s="87"/>
      <c r="CI1" s="87"/>
      <c r="CJ1" s="103">
        <v>2015</v>
      </c>
      <c r="CK1" s="104"/>
      <c r="CL1" s="105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8">
        <v>2019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99">
        <v>2018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7"/>
      <c r="BA1" s="101">
        <v>2017</v>
      </c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7"/>
      <c r="BM1" s="104"/>
      <c r="BN1" s="108"/>
      <c r="BO1" s="31"/>
      <c r="BP1" s="31"/>
      <c r="BQ1" s="31"/>
      <c r="BR1" s="31"/>
      <c r="BS1" s="31"/>
      <c r="BT1" s="86"/>
      <c r="BU1" s="87"/>
      <c r="BV1" s="87"/>
      <c r="BW1" s="87"/>
      <c r="BX1" s="103">
        <v>2015</v>
      </c>
      <c r="BY1" s="108"/>
      <c r="BZ1" s="109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99"/>
      <c r="M1" s="106"/>
      <c r="N1" s="106"/>
      <c r="O1" s="106"/>
      <c r="P1" s="106"/>
      <c r="Q1" s="98">
        <v>2019</v>
      </c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99">
        <v>2018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7"/>
      <c r="AO1" s="101">
        <v>2017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7"/>
      <c r="BA1" s="104"/>
      <c r="BB1" s="108"/>
      <c r="BC1" s="31"/>
      <c r="BD1" s="31"/>
      <c r="BE1" s="31"/>
      <c r="BF1" s="31"/>
      <c r="BG1" s="31"/>
      <c r="BH1" s="86"/>
      <c r="BI1" s="87"/>
      <c r="BJ1" s="87"/>
      <c r="BK1" s="87"/>
      <c r="BL1" s="103">
        <v>2015</v>
      </c>
      <c r="BM1" s="108"/>
      <c r="BN1" s="109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8">
        <v>2019</v>
      </c>
      <c r="E1" s="106"/>
      <c r="F1" s="106"/>
      <c r="G1" s="106"/>
      <c r="H1" s="106"/>
      <c r="I1" s="106"/>
      <c r="J1" s="106"/>
      <c r="K1" s="62"/>
      <c r="L1" s="62"/>
      <c r="M1" s="30"/>
      <c r="N1" s="30"/>
      <c r="O1" s="30"/>
      <c r="P1" s="99">
        <v>2018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7"/>
      <c r="AB1" s="101">
        <v>2017</v>
      </c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7"/>
      <c r="AN1" s="104"/>
      <c r="AO1" s="108"/>
      <c r="AP1" s="31"/>
      <c r="AQ1" s="31"/>
      <c r="AR1" s="31"/>
      <c r="AS1" s="31"/>
      <c r="AT1" s="31"/>
      <c r="AU1" s="86"/>
      <c r="AV1" s="87"/>
      <c r="AW1" s="87"/>
      <c r="AX1" s="87"/>
      <c r="AY1" s="103">
        <v>2015</v>
      </c>
      <c r="AZ1" s="108"/>
      <c r="BA1" s="109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99">
        <v>2018</v>
      </c>
      <c r="E1" s="106"/>
      <c r="F1" s="106"/>
      <c r="G1" s="85"/>
      <c r="H1" s="30"/>
      <c r="I1" s="30"/>
      <c r="J1" s="30"/>
      <c r="K1" s="30"/>
      <c r="L1" s="30"/>
      <c r="M1" s="30"/>
      <c r="N1" s="30"/>
      <c r="O1" s="63"/>
      <c r="P1" s="101">
        <v>2017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7"/>
      <c r="AB1" s="104"/>
      <c r="AC1" s="108"/>
      <c r="AD1" s="31"/>
      <c r="AE1" s="31"/>
      <c r="AF1" s="31"/>
      <c r="AG1" s="31"/>
      <c r="AH1" s="31"/>
      <c r="AI1" s="86"/>
      <c r="AJ1" s="87"/>
      <c r="AK1" s="87"/>
      <c r="AL1" s="87"/>
      <c r="AM1" s="103">
        <v>2015</v>
      </c>
      <c r="AN1" s="108"/>
      <c r="AO1" s="109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3">
        <v>2016</v>
      </c>
      <c r="Q1" s="108"/>
      <c r="R1" s="108"/>
      <c r="S1" s="31"/>
      <c r="T1" s="31"/>
      <c r="U1" s="31"/>
      <c r="V1" s="31"/>
      <c r="W1" s="31"/>
      <c r="X1" s="86"/>
      <c r="Y1" s="87"/>
      <c r="Z1" s="87"/>
      <c r="AA1" s="87"/>
      <c r="AB1" s="103">
        <v>2015</v>
      </c>
      <c r="AC1" s="108"/>
      <c r="AD1" s="109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2026-01-23T18:17:05Z</dcterms:modified>
  <cp:category/>
  <cp:contentStatus/>
</cp:coreProperties>
</file>