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dsfhe\Dropbox\ASI Bookkeeper\Financial Statements\2025\2025-11\"/>
    </mc:Choice>
  </mc:AlternateContent>
  <xr:revisionPtr revIDLastSave="0" documentId="13_ncr:1_{42442606-3C7A-4693-8984-E84D747F20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1" r:id="rId1"/>
    <sheet name="2024" sheetId="10" r:id="rId2"/>
    <sheet name="2023" sheetId="9" r:id="rId3"/>
    <sheet name="2022" sheetId="8" r:id="rId4"/>
    <sheet name="2021" sheetId="1" r:id="rId5"/>
    <sheet name="2020" sheetId="2" r:id="rId6"/>
    <sheet name="2019" sheetId="3" r:id="rId7"/>
    <sheet name="2018" sheetId="4" r:id="rId8"/>
    <sheet name="2017" sheetId="5" r:id="rId9"/>
    <sheet name="2016" sheetId="6" r:id="rId10"/>
    <sheet name="2015" sheetId="7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glYVN+s86UYV3QRlQlIULrdocKZQ=="/>
    </ext>
  </extLst>
</workbook>
</file>

<file path=xl/calcChain.xml><?xml version="1.0" encoding="utf-8"?>
<calcChain xmlns="http://schemas.openxmlformats.org/spreadsheetml/2006/main">
  <c r="E13" i="11" l="1"/>
  <c r="E9" i="11"/>
  <c r="E14" i="11"/>
  <c r="E10" i="11"/>
  <c r="E3" i="11"/>
  <c r="E21" i="11" l="1"/>
  <c r="E15" i="11"/>
  <c r="E11" i="11"/>
  <c r="E5" i="11"/>
  <c r="E4" i="11"/>
  <c r="E6" i="11" s="1"/>
  <c r="E7" i="11" s="1"/>
  <c r="F13" i="11"/>
  <c r="F9" i="11"/>
  <c r="F14" i="11"/>
  <c r="F10" i="11"/>
  <c r="F3" i="11"/>
  <c r="E17" i="11" l="1"/>
  <c r="F21" i="11"/>
  <c r="F15" i="11"/>
  <c r="F11" i="11"/>
  <c r="F5" i="11"/>
  <c r="G13" i="11"/>
  <c r="G14" i="11"/>
  <c r="G10" i="11"/>
  <c r="G9" i="11"/>
  <c r="G3" i="11"/>
  <c r="G21" i="11" l="1"/>
  <c r="G15" i="11"/>
  <c r="G11" i="11"/>
  <c r="G5" i="11"/>
  <c r="H13" i="11"/>
  <c r="H9" i="11"/>
  <c r="H14" i="11"/>
  <c r="H10" i="11"/>
  <c r="H3" i="11"/>
  <c r="F4" i="11" s="1"/>
  <c r="F6" i="11" s="1"/>
  <c r="F7" i="11" s="1"/>
  <c r="F17" i="11" s="1"/>
  <c r="H21" i="11" l="1"/>
  <c r="H15" i="11"/>
  <c r="H11" i="11"/>
  <c r="H5" i="11"/>
  <c r="I13" i="11"/>
  <c r="I14" i="11"/>
  <c r="I10" i="11"/>
  <c r="I9" i="11"/>
  <c r="I3" i="11"/>
  <c r="G4" i="11" s="1"/>
  <c r="G6" i="11" s="1"/>
  <c r="G7" i="11" s="1"/>
  <c r="G17" i="11" s="1"/>
  <c r="I21" i="11" l="1"/>
  <c r="I15" i="11"/>
  <c r="I11" i="11"/>
  <c r="I5" i="11"/>
  <c r="J13" i="11"/>
  <c r="J9" i="11"/>
  <c r="J3" i="11" l="1"/>
  <c r="J14" i="11"/>
  <c r="J15" i="11" s="1"/>
  <c r="J10" i="11"/>
  <c r="J21" i="11"/>
  <c r="J11" i="11"/>
  <c r="J5" i="11"/>
  <c r="H4" i="11" l="1"/>
  <c r="H6" i="11" s="1"/>
  <c r="H7" i="11" s="1"/>
  <c r="H17" i="11" s="1"/>
  <c r="K14" i="11"/>
  <c r="K13" i="11"/>
  <c r="K10" i="11"/>
  <c r="K9" i="11"/>
  <c r="K3" i="11"/>
  <c r="I4" i="11" s="1"/>
  <c r="I6" i="11" s="1"/>
  <c r="I7" i="11" s="1"/>
  <c r="I17" i="11" s="1"/>
  <c r="K21" i="11" l="1"/>
  <c r="K15" i="11"/>
  <c r="K11" i="11"/>
  <c r="K5" i="11"/>
  <c r="L13" i="11"/>
  <c r="L14" i="11"/>
  <c r="L10" i="11"/>
  <c r="L9" i="11"/>
  <c r="L3" i="11"/>
  <c r="J4" i="11" s="1"/>
  <c r="J6" i="11" s="1"/>
  <c r="J7" i="11" s="1"/>
  <c r="J17" i="11" s="1"/>
  <c r="L21" i="11" l="1"/>
  <c r="L15" i="11"/>
  <c r="L11" i="11"/>
  <c r="L5" i="11"/>
  <c r="M13" i="11"/>
  <c r="M9" i="11"/>
  <c r="M14" i="11"/>
  <c r="M10" i="11"/>
  <c r="M3" i="11"/>
  <c r="K4" i="11" s="1"/>
  <c r="K6" i="11" s="1"/>
  <c r="K7" i="11" s="1"/>
  <c r="K17" i="11" s="1"/>
  <c r="E3" i="10"/>
  <c r="M21" i="11" l="1"/>
  <c r="M15" i="11"/>
  <c r="M11" i="11"/>
  <c r="M5" i="11"/>
  <c r="N13" i="11"/>
  <c r="N14" i="11"/>
  <c r="N10" i="11"/>
  <c r="N9" i="11"/>
  <c r="N3" i="11"/>
  <c r="L4" i="11" s="1"/>
  <c r="L6" i="11" s="1"/>
  <c r="L7" i="11" s="1"/>
  <c r="L17" i="11" s="1"/>
  <c r="N21" i="11" l="1"/>
  <c r="N15" i="11"/>
  <c r="N11" i="11"/>
  <c r="N5" i="11"/>
  <c r="O14" i="11"/>
  <c r="O13" i="11"/>
  <c r="O10" i="11"/>
  <c r="O9" i="11"/>
  <c r="O3" i="11"/>
  <c r="M4" i="11" s="1"/>
  <c r="M6" i="11" s="1"/>
  <c r="M7" i="11" s="1"/>
  <c r="M17" i="11" s="1"/>
  <c r="O21" i="11" l="1"/>
  <c r="O15" i="11"/>
  <c r="O11" i="11"/>
  <c r="O5" i="11"/>
  <c r="ED21" i="11"/>
  <c r="EC21" i="11"/>
  <c r="EB21" i="11"/>
  <c r="EA21" i="11"/>
  <c r="DZ21" i="11"/>
  <c r="DY21" i="11"/>
  <c r="DX21" i="11"/>
  <c r="DW21" i="11"/>
  <c r="DV21" i="11"/>
  <c r="DU21" i="11"/>
  <c r="DT21" i="11"/>
  <c r="DS21" i="11"/>
  <c r="DR21" i="11"/>
  <c r="DQ21" i="11"/>
  <c r="DP21" i="11"/>
  <c r="DO21" i="11"/>
  <c r="DN21" i="11"/>
  <c r="DM21" i="11"/>
  <c r="DL21" i="11"/>
  <c r="DK21" i="11"/>
  <c r="DJ21" i="11"/>
  <c r="DI21" i="11"/>
  <c r="DH21" i="11"/>
  <c r="DG21" i="11"/>
  <c r="DF21" i="11"/>
  <c r="DE21" i="11"/>
  <c r="DD21" i="11"/>
  <c r="DC21" i="11"/>
  <c r="DB21" i="11"/>
  <c r="DA21" i="11"/>
  <c r="CZ21" i="11"/>
  <c r="CY21" i="11"/>
  <c r="CX21" i="11"/>
  <c r="CW21" i="11"/>
  <c r="CV21" i="11"/>
  <c r="CU21" i="11"/>
  <c r="CT21" i="11"/>
  <c r="CS21" i="11"/>
  <c r="CR21" i="11"/>
  <c r="CQ21" i="11"/>
  <c r="CP21" i="11"/>
  <c r="CO21" i="11"/>
  <c r="CN21" i="11"/>
  <c r="CM21" i="11"/>
  <c r="CL21" i="11"/>
  <c r="CK21" i="11"/>
  <c r="CJ21" i="11"/>
  <c r="CI21" i="11"/>
  <c r="CH21" i="11"/>
  <c r="CG21" i="11"/>
  <c r="CF21" i="11"/>
  <c r="CE21" i="11"/>
  <c r="CD21" i="11"/>
  <c r="CC21" i="11"/>
  <c r="CB21" i="11"/>
  <c r="CA21" i="11"/>
  <c r="BZ21" i="11"/>
  <c r="BY21" i="11"/>
  <c r="BX21" i="11"/>
  <c r="BW21" i="11"/>
  <c r="BV21" i="11"/>
  <c r="BU21" i="11"/>
  <c r="BT21" i="11"/>
  <c r="BS21" i="11"/>
  <c r="BR21" i="11"/>
  <c r="BQ21" i="11"/>
  <c r="BP21" i="11"/>
  <c r="BO21" i="11"/>
  <c r="BN21" i="11"/>
  <c r="BM21" i="11"/>
  <c r="BL21" i="11"/>
  <c r="BK21" i="11"/>
  <c r="BJ21" i="11"/>
  <c r="BI21" i="11"/>
  <c r="BH21" i="11"/>
  <c r="BG21" i="11"/>
  <c r="BF21" i="11"/>
  <c r="BE21" i="11"/>
  <c r="BD21" i="11"/>
  <c r="BC21" i="11"/>
  <c r="BB21" i="11"/>
  <c r="BA21" i="11"/>
  <c r="AZ21" i="11"/>
  <c r="AY21" i="11"/>
  <c r="AX21" i="11"/>
  <c r="AW21" i="11"/>
  <c r="AV21" i="11"/>
  <c r="AU21" i="11"/>
  <c r="AT21" i="11"/>
  <c r="AS21" i="11"/>
  <c r="AR21" i="11"/>
  <c r="AQ21" i="11"/>
  <c r="AP21" i="11"/>
  <c r="AO21" i="11"/>
  <c r="AN21" i="11"/>
  <c r="AM21" i="11"/>
  <c r="AL21" i="11"/>
  <c r="AK21" i="11"/>
  <c r="AJ21" i="11"/>
  <c r="AI21" i="11"/>
  <c r="AH21" i="11"/>
  <c r="AG21" i="11"/>
  <c r="AF21" i="11"/>
  <c r="AE21" i="11"/>
  <c r="AD21" i="11"/>
  <c r="AC21" i="11"/>
  <c r="AB21" i="11"/>
  <c r="AA21" i="11"/>
  <c r="Z21" i="11"/>
  <c r="Y21" i="11"/>
  <c r="X21" i="11"/>
  <c r="W21" i="11"/>
  <c r="V21" i="11"/>
  <c r="U21" i="11"/>
  <c r="T21" i="11"/>
  <c r="S21" i="11"/>
  <c r="R21" i="11"/>
  <c r="Q21" i="11"/>
  <c r="P21" i="11"/>
  <c r="ED14" i="11"/>
  <c r="EC14" i="11"/>
  <c r="EB14" i="11"/>
  <c r="EA14" i="11"/>
  <c r="DZ14" i="11"/>
  <c r="DY14" i="11"/>
  <c r="DX14" i="11"/>
  <c r="DW14" i="11"/>
  <c r="DV14" i="11"/>
  <c r="DU14" i="11"/>
  <c r="DT14" i="11"/>
  <c r="DS14" i="11"/>
  <c r="DR14" i="11"/>
  <c r="DQ14" i="11"/>
  <c r="DP14" i="11"/>
  <c r="DO14" i="11"/>
  <c r="DN14" i="11"/>
  <c r="DM14" i="11"/>
  <c r="DL14" i="11"/>
  <c r="DK14" i="11"/>
  <c r="DJ14" i="11"/>
  <c r="DI14" i="11"/>
  <c r="DH14" i="11"/>
  <c r="DG14" i="11"/>
  <c r="DF14" i="11"/>
  <c r="DE14" i="11"/>
  <c r="DD14" i="11"/>
  <c r="DC14" i="11"/>
  <c r="DB14" i="11"/>
  <c r="DA14" i="11"/>
  <c r="CZ14" i="11"/>
  <c r="CZ15" i="11" s="1"/>
  <c r="CY14" i="11"/>
  <c r="CY15" i="11" s="1"/>
  <c r="CX14" i="11"/>
  <c r="CX15" i="11" s="1"/>
  <c r="CW14" i="11"/>
  <c r="CW15" i="11" s="1"/>
  <c r="CV14" i="11"/>
  <c r="CV15" i="11" s="1"/>
  <c r="CU14" i="11"/>
  <c r="CT14" i="11"/>
  <c r="CS14" i="11"/>
  <c r="CR14" i="11"/>
  <c r="CQ14" i="11"/>
  <c r="CP14" i="11"/>
  <c r="CP15" i="11" s="1"/>
  <c r="CO14" i="11"/>
  <c r="CN14" i="11"/>
  <c r="CM14" i="11"/>
  <c r="CL14" i="11"/>
  <c r="CK14" i="11"/>
  <c r="CJ14" i="11"/>
  <c r="CI14" i="11"/>
  <c r="CI15" i="11" s="1"/>
  <c r="CH14" i="11"/>
  <c r="CG14" i="11"/>
  <c r="CF14" i="11"/>
  <c r="CE14" i="11"/>
  <c r="CD14" i="11"/>
  <c r="CD15" i="11" s="1"/>
  <c r="CC14" i="11"/>
  <c r="CB14" i="11"/>
  <c r="CA14" i="11"/>
  <c r="BZ14" i="11"/>
  <c r="BY14" i="11"/>
  <c r="BX14" i="11"/>
  <c r="BW14" i="11"/>
  <c r="BV14" i="11"/>
  <c r="BU14" i="11"/>
  <c r="BT14" i="11"/>
  <c r="BS14" i="11"/>
  <c r="BR14" i="11"/>
  <c r="BR15" i="11" s="1"/>
  <c r="BQ14" i="11"/>
  <c r="BP14" i="11"/>
  <c r="BO14" i="11"/>
  <c r="BN14" i="11"/>
  <c r="BM14" i="11"/>
  <c r="BL14" i="11"/>
  <c r="BK14" i="11"/>
  <c r="BJ14" i="11"/>
  <c r="BI14" i="11"/>
  <c r="BH14" i="11"/>
  <c r="BG14" i="11"/>
  <c r="BF14" i="11"/>
  <c r="BF15" i="11" s="1"/>
  <c r="BE14" i="11"/>
  <c r="BD14" i="11"/>
  <c r="BC14" i="11"/>
  <c r="BB14" i="11"/>
  <c r="BA14" i="11"/>
  <c r="AZ14" i="11"/>
  <c r="AY14" i="11"/>
  <c r="AX14" i="11"/>
  <c r="AW14" i="11"/>
  <c r="AV14" i="11"/>
  <c r="AU14" i="11"/>
  <c r="AT14" i="11"/>
  <c r="AS14" i="11"/>
  <c r="AR14" i="11"/>
  <c r="AQ14" i="11"/>
  <c r="AP14" i="11"/>
  <c r="AO14" i="11"/>
  <c r="AN14" i="11"/>
  <c r="AM14" i="11"/>
  <c r="AL14" i="11"/>
  <c r="AK14" i="11"/>
  <c r="AJ14" i="11"/>
  <c r="AI14" i="11"/>
  <c r="AH14" i="11"/>
  <c r="AH15" i="11" s="1"/>
  <c r="AG14" i="11"/>
  <c r="AF14" i="11"/>
  <c r="AE14" i="11"/>
  <c r="AD14" i="11"/>
  <c r="AC14" i="11"/>
  <c r="AB14" i="11"/>
  <c r="AA14" i="11"/>
  <c r="Z14" i="11"/>
  <c r="Y14" i="11"/>
  <c r="X14" i="11"/>
  <c r="W14" i="11"/>
  <c r="V14" i="11"/>
  <c r="V15" i="11" s="1"/>
  <c r="U14" i="11"/>
  <c r="T14" i="11"/>
  <c r="S14" i="11"/>
  <c r="R14" i="11"/>
  <c r="Q14" i="11"/>
  <c r="P14" i="11"/>
  <c r="ED13" i="11"/>
  <c r="EC13" i="11"/>
  <c r="EB13" i="11"/>
  <c r="EA13" i="11"/>
  <c r="DZ13" i="11"/>
  <c r="DY13" i="11"/>
  <c r="DX13" i="11"/>
  <c r="DW13" i="11"/>
  <c r="DV13" i="11"/>
  <c r="DU13" i="11"/>
  <c r="DT13" i="11"/>
  <c r="DS13" i="11"/>
  <c r="DR13" i="11"/>
  <c r="DQ13" i="11"/>
  <c r="DP13" i="11"/>
  <c r="DO13" i="11"/>
  <c r="DN13" i="11"/>
  <c r="DM13" i="11"/>
  <c r="DL13" i="11"/>
  <c r="DK13" i="11"/>
  <c r="DJ13" i="11"/>
  <c r="DI13" i="11"/>
  <c r="DH13" i="11"/>
  <c r="DG13" i="11"/>
  <c r="DF13" i="11"/>
  <c r="DE13" i="11"/>
  <c r="DD13" i="11"/>
  <c r="DC13" i="11"/>
  <c r="DB13" i="11"/>
  <c r="DA13" i="11"/>
  <c r="CU13" i="11"/>
  <c r="CT13" i="11"/>
  <c r="CS13" i="11"/>
  <c r="CR13" i="11"/>
  <c r="CQ13" i="11"/>
  <c r="CP13" i="11"/>
  <c r="CO13" i="11"/>
  <c r="CN13" i="11"/>
  <c r="CM13" i="11"/>
  <c r="CL13" i="11"/>
  <c r="CK13" i="11"/>
  <c r="CJ13" i="11"/>
  <c r="CH13" i="11"/>
  <c r="CH15" i="11" s="1"/>
  <c r="CG13" i="11"/>
  <c r="CF13" i="11"/>
  <c r="CE13" i="11"/>
  <c r="CD13" i="11"/>
  <c r="CC13" i="11"/>
  <c r="CB13" i="11"/>
  <c r="CA13" i="11"/>
  <c r="BZ13" i="11"/>
  <c r="BY13" i="11"/>
  <c r="BX13" i="11"/>
  <c r="BW13" i="11"/>
  <c r="BV13" i="11"/>
  <c r="BV15" i="11" s="1"/>
  <c r="BU13" i="11"/>
  <c r="BT13" i="11"/>
  <c r="BS13" i="11"/>
  <c r="BR13" i="11"/>
  <c r="BQ13" i="11"/>
  <c r="BP13" i="11"/>
  <c r="BO13" i="11"/>
  <c r="BN13" i="11"/>
  <c r="BM13" i="11"/>
  <c r="BL13" i="11"/>
  <c r="BK13" i="11"/>
  <c r="BJ13" i="11"/>
  <c r="BJ15" i="11" s="1"/>
  <c r="BI13" i="11"/>
  <c r="BH13" i="11"/>
  <c r="BG13" i="11"/>
  <c r="BF13" i="11"/>
  <c r="BE13" i="11"/>
  <c r="BD13" i="11"/>
  <c r="BC13" i="11"/>
  <c r="BB13" i="11"/>
  <c r="BA13" i="11"/>
  <c r="AZ13" i="11"/>
  <c r="AY13" i="11"/>
  <c r="AX13" i="11"/>
  <c r="AX15" i="11" s="1"/>
  <c r="AW13" i="11"/>
  <c r="AV13" i="11"/>
  <c r="AU13" i="11"/>
  <c r="AT13" i="11"/>
  <c r="AS13" i="11"/>
  <c r="AR13" i="11"/>
  <c r="AQ13" i="11"/>
  <c r="AP13" i="11"/>
  <c r="AO13" i="11"/>
  <c r="AN13" i="11"/>
  <c r="AM13" i="11"/>
  <c r="AL13" i="11"/>
  <c r="AL15" i="11" s="1"/>
  <c r="AK13" i="11"/>
  <c r="AJ13" i="11"/>
  <c r="AI13" i="11"/>
  <c r="AH13" i="11"/>
  <c r="AG13" i="11"/>
  <c r="AF13" i="11"/>
  <c r="AE13" i="11"/>
  <c r="AD13" i="11"/>
  <c r="AC13" i="11"/>
  <c r="AB13" i="11"/>
  <c r="AA13" i="11"/>
  <c r="Z13" i="11"/>
  <c r="Z15" i="11" s="1"/>
  <c r="Y13" i="11"/>
  <c r="X13" i="11"/>
  <c r="W13" i="11"/>
  <c r="V13" i="11"/>
  <c r="U13" i="11"/>
  <c r="T13" i="11"/>
  <c r="S13" i="11"/>
  <c r="R13" i="11"/>
  <c r="Q13" i="11"/>
  <c r="P13" i="11"/>
  <c r="DR10" i="11"/>
  <c r="DQ10" i="11"/>
  <c r="DP10" i="11"/>
  <c r="DO10" i="11"/>
  <c r="DN10" i="11"/>
  <c r="DM10" i="11"/>
  <c r="DL10" i="11"/>
  <c r="DK10" i="11"/>
  <c r="DJ10" i="11"/>
  <c r="DI10" i="11"/>
  <c r="DH10" i="11"/>
  <c r="DG10" i="11"/>
  <c r="DF10" i="11"/>
  <c r="DE10" i="11"/>
  <c r="DD10" i="11"/>
  <c r="DC10" i="11"/>
  <c r="DB10" i="11"/>
  <c r="DA10" i="11"/>
  <c r="CZ10" i="11"/>
  <c r="CZ11" i="11" s="1"/>
  <c r="CY10" i="11"/>
  <c r="CY11" i="11" s="1"/>
  <c r="CX10" i="11"/>
  <c r="CX11" i="11" s="1"/>
  <c r="CW10" i="11"/>
  <c r="CW11" i="11" s="1"/>
  <c r="CV10" i="11"/>
  <c r="CV11" i="11" s="1"/>
  <c r="CU10" i="11"/>
  <c r="CT10" i="11"/>
  <c r="CS10" i="11"/>
  <c r="CR10" i="11"/>
  <c r="CQ10" i="11"/>
  <c r="CP10" i="11"/>
  <c r="CO10" i="11"/>
  <c r="CN10" i="11"/>
  <c r="CM10" i="11"/>
  <c r="CL10" i="11"/>
  <c r="CK10" i="11"/>
  <c r="CJ10" i="11"/>
  <c r="CI10" i="11"/>
  <c r="CH10" i="11"/>
  <c r="CG10" i="11"/>
  <c r="CF10" i="11"/>
  <c r="CE10" i="11"/>
  <c r="CD10" i="11"/>
  <c r="CC10" i="11"/>
  <c r="CB10" i="11"/>
  <c r="CA10" i="11"/>
  <c r="BZ10" i="11"/>
  <c r="BY10" i="11"/>
  <c r="BX10" i="11"/>
  <c r="BW10" i="11"/>
  <c r="BV10" i="11"/>
  <c r="BU10" i="11"/>
  <c r="BT10" i="11"/>
  <c r="BS10" i="11"/>
  <c r="BR10" i="11"/>
  <c r="BQ10" i="11"/>
  <c r="BP10" i="11"/>
  <c r="BO10" i="11"/>
  <c r="BN10" i="11"/>
  <c r="BM10" i="11"/>
  <c r="BL10" i="11"/>
  <c r="BK10" i="11"/>
  <c r="BJ10" i="11"/>
  <c r="BI10" i="11"/>
  <c r="BH10" i="11"/>
  <c r="BG10" i="11"/>
  <c r="BF10" i="11"/>
  <c r="BE10" i="11"/>
  <c r="BD10" i="11"/>
  <c r="BC10" i="11"/>
  <c r="BB10" i="11"/>
  <c r="BA10" i="11"/>
  <c r="AZ10" i="11"/>
  <c r="AY10" i="11"/>
  <c r="AX10" i="11"/>
  <c r="AW10" i="11"/>
  <c r="AV10" i="11"/>
  <c r="AU10" i="11"/>
  <c r="AT10" i="11"/>
  <c r="AS10" i="11"/>
  <c r="AR10" i="11"/>
  <c r="AQ10" i="11"/>
  <c r="AP10" i="11"/>
  <c r="AO10" i="11"/>
  <c r="AN10" i="11"/>
  <c r="AM10" i="11"/>
  <c r="AL10" i="11"/>
  <c r="AK10" i="11"/>
  <c r="AJ10" i="11"/>
  <c r="AI10" i="11"/>
  <c r="AH10" i="11"/>
  <c r="AG10" i="11"/>
  <c r="AF10" i="11"/>
  <c r="AE10" i="11"/>
  <c r="AD10" i="11"/>
  <c r="AC10" i="11"/>
  <c r="AB10" i="11"/>
  <c r="AA10" i="11"/>
  <c r="Z10" i="11"/>
  <c r="Y10" i="11"/>
  <c r="X10" i="11"/>
  <c r="W10" i="11"/>
  <c r="V10" i="11"/>
  <c r="U10" i="11"/>
  <c r="T10" i="11"/>
  <c r="S10" i="11"/>
  <c r="R10" i="11"/>
  <c r="Q10" i="11"/>
  <c r="P10" i="11"/>
  <c r="DR9" i="11"/>
  <c r="DQ9" i="11"/>
  <c r="DP9" i="11"/>
  <c r="DO9" i="11"/>
  <c r="DN9" i="11"/>
  <c r="DM9" i="11"/>
  <c r="DM11" i="11" s="1"/>
  <c r="DL9" i="11"/>
  <c r="DK9" i="11"/>
  <c r="DJ9" i="11"/>
  <c r="DJ11" i="11" s="1"/>
  <c r="DI9" i="11"/>
  <c r="DH9" i="11"/>
  <c r="DG9" i="11"/>
  <c r="DF9" i="11"/>
  <c r="DE9" i="11"/>
  <c r="DD9" i="11"/>
  <c r="DC9" i="11"/>
  <c r="DB9" i="11"/>
  <c r="DA9" i="11"/>
  <c r="DA11" i="11" s="1"/>
  <c r="CU9" i="11"/>
  <c r="CT9" i="11"/>
  <c r="CS9" i="11"/>
  <c r="CR9" i="11"/>
  <c r="CQ9" i="11"/>
  <c r="CP9" i="11"/>
  <c r="CO9" i="11"/>
  <c r="CN9" i="11"/>
  <c r="CM9" i="11"/>
  <c r="CL9" i="11"/>
  <c r="CL11" i="11" s="1"/>
  <c r="CK9" i="11"/>
  <c r="CJ9" i="11"/>
  <c r="CI9" i="11"/>
  <c r="CH9" i="11"/>
  <c r="CG9" i="11"/>
  <c r="CF9" i="11"/>
  <c r="CE9" i="11"/>
  <c r="CD9" i="11"/>
  <c r="CC9" i="11"/>
  <c r="CB9" i="11"/>
  <c r="CA9" i="11"/>
  <c r="BZ9" i="11"/>
  <c r="BZ11" i="11" s="1"/>
  <c r="BY9" i="11"/>
  <c r="BX9" i="11"/>
  <c r="BW9" i="11"/>
  <c r="BV9" i="11"/>
  <c r="BU9" i="11"/>
  <c r="BT9" i="11"/>
  <c r="BS9" i="11"/>
  <c r="BR9" i="11"/>
  <c r="BQ9" i="11"/>
  <c r="BP9" i="11"/>
  <c r="BO9" i="11"/>
  <c r="BN9" i="11"/>
  <c r="BN11" i="11" s="1"/>
  <c r="BM9" i="11"/>
  <c r="BL9" i="11"/>
  <c r="BK9" i="11"/>
  <c r="BJ9" i="11"/>
  <c r="BI9" i="11"/>
  <c r="BH9" i="11"/>
  <c r="BG9" i="11"/>
  <c r="BF9" i="11"/>
  <c r="BE9" i="11"/>
  <c r="BD9" i="11"/>
  <c r="BC9" i="11"/>
  <c r="BB9" i="11"/>
  <c r="BB11" i="11" s="1"/>
  <c r="BA9" i="11"/>
  <c r="AZ9" i="11"/>
  <c r="AY9" i="11"/>
  <c r="AX9" i="11"/>
  <c r="AW9" i="11"/>
  <c r="AV9" i="11"/>
  <c r="AU9" i="11"/>
  <c r="AT9" i="11"/>
  <c r="AS9" i="11"/>
  <c r="AR9" i="11"/>
  <c r="AQ9" i="11"/>
  <c r="AP9" i="11"/>
  <c r="AP11" i="11" s="1"/>
  <c r="AO9" i="11"/>
  <c r="AN9" i="11"/>
  <c r="AM9" i="11"/>
  <c r="AL9" i="11"/>
  <c r="AK9" i="11"/>
  <c r="AJ9" i="11"/>
  <c r="AI9" i="11"/>
  <c r="AH9" i="11"/>
  <c r="AG9" i="11"/>
  <c r="AF9" i="11"/>
  <c r="AE9" i="11"/>
  <c r="AD9" i="11"/>
  <c r="AD11" i="11" s="1"/>
  <c r="AC9" i="11"/>
  <c r="AB9" i="11"/>
  <c r="AA9" i="11"/>
  <c r="Z9" i="11"/>
  <c r="Y9" i="11"/>
  <c r="X9" i="11"/>
  <c r="W9" i="11"/>
  <c r="V9" i="11"/>
  <c r="U9" i="11"/>
  <c r="T9" i="11"/>
  <c r="S9" i="11"/>
  <c r="R9" i="11"/>
  <c r="R11" i="11" s="1"/>
  <c r="Q9" i="11"/>
  <c r="P9" i="11"/>
  <c r="AA5" i="11"/>
  <c r="Z5" i="11"/>
  <c r="Y5" i="11"/>
  <c r="X5" i="11"/>
  <c r="W5" i="11"/>
  <c r="V5" i="11"/>
  <c r="U5" i="11"/>
  <c r="T5" i="11"/>
  <c r="S5" i="11"/>
  <c r="R5" i="11"/>
  <c r="Q5" i="11"/>
  <c r="P5" i="11"/>
  <c r="ED4" i="11"/>
  <c r="ED6" i="11" s="1"/>
  <c r="ED7" i="11" s="1"/>
  <c r="EC4" i="11"/>
  <c r="EC6" i="11" s="1"/>
  <c r="EC7" i="11" s="1"/>
  <c r="EB4" i="11"/>
  <c r="EB6" i="11" s="1"/>
  <c r="EB7" i="11" s="1"/>
  <c r="EA4" i="11"/>
  <c r="EA6" i="11" s="1"/>
  <c r="EA7" i="11" s="1"/>
  <c r="DZ4" i="11"/>
  <c r="DZ6" i="11" s="1"/>
  <c r="DZ7" i="11" s="1"/>
  <c r="DY4" i="11"/>
  <c r="DY6" i="11" s="1"/>
  <c r="DY7" i="11" s="1"/>
  <c r="DX4" i="11"/>
  <c r="DX6" i="11" s="1"/>
  <c r="DX7" i="11" s="1"/>
  <c r="DW4" i="11"/>
  <c r="DW6" i="11" s="1"/>
  <c r="DW7" i="11" s="1"/>
  <c r="DV4" i="11"/>
  <c r="DV6" i="11" s="1"/>
  <c r="DV7" i="11" s="1"/>
  <c r="DU4" i="11"/>
  <c r="DU6" i="11" s="1"/>
  <c r="DU7" i="11" s="1"/>
  <c r="DT4" i="11"/>
  <c r="DT6" i="11" s="1"/>
  <c r="DT7" i="11" s="1"/>
  <c r="DS4" i="11"/>
  <c r="DS6" i="11" s="1"/>
  <c r="DS7" i="11" s="1"/>
  <c r="DR4" i="11"/>
  <c r="DR6" i="11" s="1"/>
  <c r="DR7" i="11" s="1"/>
  <c r="DQ4" i="11"/>
  <c r="DQ6" i="11" s="1"/>
  <c r="DQ7" i="11" s="1"/>
  <c r="DP4" i="11"/>
  <c r="DP6" i="11" s="1"/>
  <c r="DP7" i="11" s="1"/>
  <c r="DO4" i="11"/>
  <c r="DO6" i="11" s="1"/>
  <c r="DO7" i="11" s="1"/>
  <c r="DN4" i="11"/>
  <c r="DN6" i="11" s="1"/>
  <c r="DN7" i="11" s="1"/>
  <c r="DM4" i="11"/>
  <c r="DM6" i="11" s="1"/>
  <c r="DM7" i="11" s="1"/>
  <c r="DL4" i="11"/>
  <c r="DL6" i="11" s="1"/>
  <c r="DL7" i="11" s="1"/>
  <c r="DK4" i="11"/>
  <c r="DK6" i="11" s="1"/>
  <c r="DK7" i="11" s="1"/>
  <c r="DG4" i="11"/>
  <c r="DG6" i="11" s="1"/>
  <c r="DG7" i="11" s="1"/>
  <c r="CU4" i="11"/>
  <c r="CU6" i="11" s="1"/>
  <c r="CU7" i="11" s="1"/>
  <c r="CT4" i="11"/>
  <c r="CT6" i="11" s="1"/>
  <c r="CT7" i="11" s="1"/>
  <c r="CS4" i="11"/>
  <c r="CS6" i="11" s="1"/>
  <c r="CS7" i="11" s="1"/>
  <c r="CR4" i="11"/>
  <c r="CR6" i="11" s="1"/>
  <c r="CR7" i="11" s="1"/>
  <c r="CQ4" i="11"/>
  <c r="CQ6" i="11" s="1"/>
  <c r="CQ7" i="11" s="1"/>
  <c r="CP4" i="11"/>
  <c r="CP6" i="11" s="1"/>
  <c r="CP7" i="11" s="1"/>
  <c r="CO4" i="11"/>
  <c r="CO6" i="11" s="1"/>
  <c r="CO7" i="11" s="1"/>
  <c r="CN4" i="11"/>
  <c r="CN6" i="11" s="1"/>
  <c r="CN7" i="11" s="1"/>
  <c r="CM4" i="11"/>
  <c r="CM6" i="11" s="1"/>
  <c r="CM7" i="11" s="1"/>
  <c r="CL4" i="11"/>
  <c r="CL6" i="11" s="1"/>
  <c r="CL7" i="11" s="1"/>
  <c r="CK4" i="11"/>
  <c r="CK6" i="11" s="1"/>
  <c r="CK7" i="11" s="1"/>
  <c r="CJ4" i="11"/>
  <c r="CJ6" i="11" s="1"/>
  <c r="CJ7" i="11" s="1"/>
  <c r="CI4" i="11"/>
  <c r="CI6" i="11" s="1"/>
  <c r="CI7" i="11" s="1"/>
  <c r="CH4" i="11"/>
  <c r="CH6" i="11" s="1"/>
  <c r="CH7" i="11" s="1"/>
  <c r="CG4" i="11"/>
  <c r="CG6" i="11" s="1"/>
  <c r="CG7" i="11" s="1"/>
  <c r="CF4" i="11"/>
  <c r="CF6" i="11" s="1"/>
  <c r="CF7" i="11" s="1"/>
  <c r="CE4" i="11"/>
  <c r="CE6" i="11" s="1"/>
  <c r="CE7" i="11" s="1"/>
  <c r="CD4" i="11"/>
  <c r="CD6" i="11" s="1"/>
  <c r="CD7" i="11" s="1"/>
  <c r="CC4" i="11"/>
  <c r="CC6" i="11" s="1"/>
  <c r="CC7" i="11" s="1"/>
  <c r="CB4" i="11"/>
  <c r="CB6" i="11" s="1"/>
  <c r="CB7" i="11" s="1"/>
  <c r="CA4" i="11"/>
  <c r="CA6" i="11" s="1"/>
  <c r="CA7" i="11" s="1"/>
  <c r="BZ4" i="11"/>
  <c r="BZ6" i="11" s="1"/>
  <c r="BZ7" i="11" s="1"/>
  <c r="BY4" i="11"/>
  <c r="BY6" i="11" s="1"/>
  <c r="BY7" i="11" s="1"/>
  <c r="BX4" i="11"/>
  <c r="BX6" i="11" s="1"/>
  <c r="BX7" i="11" s="1"/>
  <c r="BW4" i="11"/>
  <c r="BW6" i="11" s="1"/>
  <c r="BW7" i="11" s="1"/>
  <c r="BV4" i="11"/>
  <c r="BV6" i="11" s="1"/>
  <c r="BV7" i="11" s="1"/>
  <c r="BU4" i="11"/>
  <c r="BU6" i="11" s="1"/>
  <c r="BU7" i="11" s="1"/>
  <c r="BT4" i="11"/>
  <c r="BT6" i="11" s="1"/>
  <c r="BT7" i="11" s="1"/>
  <c r="BS4" i="11"/>
  <c r="BS6" i="11" s="1"/>
  <c r="BS7" i="11" s="1"/>
  <c r="BR4" i="11"/>
  <c r="BR6" i="11" s="1"/>
  <c r="BR7" i="11" s="1"/>
  <c r="BQ4" i="11"/>
  <c r="BQ6" i="11" s="1"/>
  <c r="BQ7" i="11" s="1"/>
  <c r="DJ3" i="11"/>
  <c r="DJ4" i="11" s="1"/>
  <c r="DJ6" i="11" s="1"/>
  <c r="DJ7" i="11" s="1"/>
  <c r="DI3" i="11"/>
  <c r="DF3" i="11"/>
  <c r="DF4" i="11" s="1"/>
  <c r="DF6" i="11" s="1"/>
  <c r="DF7" i="11" s="1"/>
  <c r="CY3" i="11"/>
  <c r="BP3" i="11"/>
  <c r="BP4" i="11" s="1"/>
  <c r="BP6" i="11" s="1"/>
  <c r="BP7" i="11" s="1"/>
  <c r="BO3" i="11"/>
  <c r="BN3" i="11"/>
  <c r="BM3" i="11"/>
  <c r="BL3" i="11"/>
  <c r="BK3" i="11"/>
  <c r="BK4" i="11" s="1"/>
  <c r="BK6" i="11" s="1"/>
  <c r="BK7" i="11" s="1"/>
  <c r="BJ3" i="11"/>
  <c r="BI3" i="11"/>
  <c r="BH3" i="11"/>
  <c r="BG3" i="11"/>
  <c r="BF3" i="11"/>
  <c r="BE3" i="11"/>
  <c r="BD3" i="11"/>
  <c r="BC3" i="11"/>
  <c r="BB3" i="11"/>
  <c r="BA3" i="11"/>
  <c r="AZ3" i="11"/>
  <c r="AY3" i="11"/>
  <c r="AX3" i="11"/>
  <c r="AW3" i="11"/>
  <c r="AV3" i="11"/>
  <c r="AU3" i="11"/>
  <c r="AT3" i="11"/>
  <c r="AS3" i="11"/>
  <c r="AR3" i="11"/>
  <c r="AQ3" i="11"/>
  <c r="AP3" i="11"/>
  <c r="AO3" i="11"/>
  <c r="AN3" i="11"/>
  <c r="AM3" i="11"/>
  <c r="AM4" i="11" s="1"/>
  <c r="AM6" i="11" s="1"/>
  <c r="AM7" i="11" s="1"/>
  <c r="AL3" i="11"/>
  <c r="AK3" i="11"/>
  <c r="AJ3" i="11"/>
  <c r="AI3" i="11"/>
  <c r="AH3" i="11"/>
  <c r="AG3" i="11"/>
  <c r="AF3" i="11"/>
  <c r="AE3" i="11"/>
  <c r="AD3" i="11"/>
  <c r="AC3" i="11"/>
  <c r="AB3" i="11"/>
  <c r="AA3" i="11"/>
  <c r="AA4" i="11" s="1"/>
  <c r="AA6" i="11" s="1"/>
  <c r="AA7" i="11" s="1"/>
  <c r="Z3" i="11"/>
  <c r="Y3" i="11"/>
  <c r="X3" i="11"/>
  <c r="W3" i="11"/>
  <c r="V3" i="11"/>
  <c r="U3" i="11"/>
  <c r="T3" i="11"/>
  <c r="S3" i="11"/>
  <c r="R3" i="11"/>
  <c r="Q3" i="11"/>
  <c r="P3" i="11"/>
  <c r="N4" i="11" s="1"/>
  <c r="N6" i="11" s="1"/>
  <c r="N7" i="11" s="1"/>
  <c r="N17" i="11" s="1"/>
  <c r="E13" i="10"/>
  <c r="E9" i="10"/>
  <c r="E14" i="10"/>
  <c r="E10" i="10"/>
  <c r="CG11" i="11" l="1"/>
  <c r="AH4" i="11"/>
  <c r="AH6" i="11" s="1"/>
  <c r="AH7" i="11" s="1"/>
  <c r="V4" i="11"/>
  <c r="V6" i="11" s="1"/>
  <c r="V7" i="11" s="1"/>
  <c r="AT4" i="11"/>
  <c r="AT6" i="11" s="1"/>
  <c r="AT7" i="11" s="1"/>
  <c r="DD11" i="11"/>
  <c r="Z4" i="11"/>
  <c r="Z6" i="11" s="1"/>
  <c r="Z7" i="11" s="1"/>
  <c r="AL4" i="11"/>
  <c r="AL6" i="11" s="1"/>
  <c r="AL7" i="11" s="1"/>
  <c r="BJ4" i="11"/>
  <c r="BJ6" i="11" s="1"/>
  <c r="BJ7" i="11" s="1"/>
  <c r="DC11" i="11"/>
  <c r="DO11" i="11"/>
  <c r="DE11" i="11"/>
  <c r="DQ11" i="11"/>
  <c r="BF4" i="11"/>
  <c r="BF6" i="11" s="1"/>
  <c r="BF7" i="11" s="1"/>
  <c r="V11" i="11"/>
  <c r="AH11" i="11"/>
  <c r="AH17" i="11" s="1"/>
  <c r="AT11" i="11"/>
  <c r="BF11" i="11"/>
  <c r="BR11" i="11"/>
  <c r="BR17" i="11" s="1"/>
  <c r="CD11" i="11"/>
  <c r="CD17" i="11" s="1"/>
  <c r="CP11" i="11"/>
  <c r="CP17" i="11" s="1"/>
  <c r="AE4" i="11"/>
  <c r="AE6" i="11" s="1"/>
  <c r="AE7" i="11" s="1"/>
  <c r="W11" i="11"/>
  <c r="AI11" i="11"/>
  <c r="AU11" i="11"/>
  <c r="BG11" i="11"/>
  <c r="BS11" i="11"/>
  <c r="CE11" i="11"/>
  <c r="CQ11" i="11"/>
  <c r="CK11" i="11"/>
  <c r="X11" i="11"/>
  <c r="AJ11" i="11"/>
  <c r="AV11" i="11"/>
  <c r="BH11" i="11"/>
  <c r="BT11" i="11"/>
  <c r="CF11" i="11"/>
  <c r="CR11" i="11"/>
  <c r="DB11" i="11"/>
  <c r="AX4" i="11"/>
  <c r="AX6" i="11" s="1"/>
  <c r="AX7" i="11" s="1"/>
  <c r="AY4" i="11"/>
  <c r="AY6" i="11" s="1"/>
  <c r="AY7" i="11" s="1"/>
  <c r="DN11" i="11"/>
  <c r="U4" i="11"/>
  <c r="U6" i="11" s="1"/>
  <c r="U7" i="11" s="1"/>
  <c r="CY4" i="11"/>
  <c r="CY6" i="11" s="1"/>
  <c r="CY7" i="11" s="1"/>
  <c r="DB15" i="11"/>
  <c r="DN15" i="11"/>
  <c r="DZ15" i="11"/>
  <c r="Y11" i="11"/>
  <c r="AK11" i="11"/>
  <c r="AW11" i="11"/>
  <c r="BI11" i="11"/>
  <c r="BU11" i="11"/>
  <c r="CS11" i="11"/>
  <c r="CT15" i="11"/>
  <c r="ED15" i="11"/>
  <c r="R4" i="11"/>
  <c r="R6" i="11" s="1"/>
  <c r="R7" i="11" s="1"/>
  <c r="AD4" i="11"/>
  <c r="AD6" i="11" s="1"/>
  <c r="AD7" i="11" s="1"/>
  <c r="Q11" i="11"/>
  <c r="P4" i="11"/>
  <c r="P6" i="11" s="1"/>
  <c r="P7" i="11" s="1"/>
  <c r="O4" i="11"/>
  <c r="O6" i="11" s="1"/>
  <c r="O7" i="11" s="1"/>
  <c r="O17" i="11" s="1"/>
  <c r="AB4" i="11"/>
  <c r="AB6" i="11" s="1"/>
  <c r="AB7" i="11" s="1"/>
  <c r="AN4" i="11"/>
  <c r="AN6" i="11" s="1"/>
  <c r="AN7" i="11" s="1"/>
  <c r="AZ4" i="11"/>
  <c r="AZ6" i="11" s="1"/>
  <c r="AZ7" i="11" s="1"/>
  <c r="BL4" i="11"/>
  <c r="BL6" i="11" s="1"/>
  <c r="BL7" i="11" s="1"/>
  <c r="DI11" i="11"/>
  <c r="S4" i="11"/>
  <c r="S6" i="11" s="1"/>
  <c r="S7" i="11" s="1"/>
  <c r="AQ4" i="11"/>
  <c r="AQ6" i="11" s="1"/>
  <c r="AQ7" i="11" s="1"/>
  <c r="BC4" i="11"/>
  <c r="BC6" i="11" s="1"/>
  <c r="BC7" i="11" s="1"/>
  <c r="BO4" i="11"/>
  <c r="BO6" i="11" s="1"/>
  <c r="BO7" i="11" s="1"/>
  <c r="DL11" i="11"/>
  <c r="DF15" i="11"/>
  <c r="DR15" i="11"/>
  <c r="P11" i="11"/>
  <c r="AB11" i="11"/>
  <c r="AN11" i="11"/>
  <c r="AZ11" i="11"/>
  <c r="BL11" i="11"/>
  <c r="BX11" i="11"/>
  <c r="CJ11" i="11"/>
  <c r="AC11" i="11"/>
  <c r="AO11" i="11"/>
  <c r="BA11" i="11"/>
  <c r="BM11" i="11"/>
  <c r="BY11" i="11"/>
  <c r="P15" i="11"/>
  <c r="AB15" i="11"/>
  <c r="AN15" i="11"/>
  <c r="AZ15" i="11"/>
  <c r="BL15" i="11"/>
  <c r="BX15" i="11"/>
  <c r="CJ15" i="11"/>
  <c r="CJ17" i="11" s="1"/>
  <c r="DH15" i="11"/>
  <c r="DT15" i="11"/>
  <c r="DT17" i="11" s="1"/>
  <c r="AT15" i="11"/>
  <c r="Q15" i="11"/>
  <c r="AC15" i="11"/>
  <c r="AO15" i="11"/>
  <c r="BA15" i="11"/>
  <c r="BM15" i="11"/>
  <c r="BY15" i="11"/>
  <c r="CK15" i="11"/>
  <c r="DI15" i="11"/>
  <c r="DU15" i="11"/>
  <c r="DU17" i="11" s="1"/>
  <c r="DH11" i="11"/>
  <c r="S11" i="11"/>
  <c r="AE11" i="11"/>
  <c r="AQ11" i="11"/>
  <c r="BC11" i="11"/>
  <c r="BO11" i="11"/>
  <c r="CA11" i="11"/>
  <c r="CM11" i="11"/>
  <c r="DP11" i="11"/>
  <c r="R15" i="11"/>
  <c r="AD15" i="11"/>
  <c r="AP15" i="11"/>
  <c r="BB15" i="11"/>
  <c r="T11" i="11"/>
  <c r="AR11" i="11"/>
  <c r="BD11" i="11"/>
  <c r="BP11" i="11"/>
  <c r="CB11" i="11"/>
  <c r="CN11" i="11"/>
  <c r="DK11" i="11"/>
  <c r="AF11" i="11"/>
  <c r="U11" i="11"/>
  <c r="AG11" i="11"/>
  <c r="AS11" i="11"/>
  <c r="BE11" i="11"/>
  <c r="BQ11" i="11"/>
  <c r="CC11" i="11"/>
  <c r="CO11" i="11"/>
  <c r="DF11" i="11"/>
  <c r="DR11" i="11"/>
  <c r="DR17" i="11" s="1"/>
  <c r="DG11" i="11"/>
  <c r="BN15" i="11"/>
  <c r="BZ15" i="11"/>
  <c r="BZ17" i="11" s="1"/>
  <c r="CL15" i="11"/>
  <c r="CL17" i="11" s="1"/>
  <c r="DJ15" i="11"/>
  <c r="DJ17" i="11" s="1"/>
  <c r="DV15" i="11"/>
  <c r="DV17" i="11" s="1"/>
  <c r="Q4" i="11"/>
  <c r="Q6" i="11" s="1"/>
  <c r="Q7" i="11" s="1"/>
  <c r="AC4" i="11"/>
  <c r="AC6" i="11" s="1"/>
  <c r="AC7" i="11" s="1"/>
  <c r="AO4" i="11"/>
  <c r="AO6" i="11" s="1"/>
  <c r="AO7" i="11" s="1"/>
  <c r="BA4" i="11"/>
  <c r="BA6" i="11" s="1"/>
  <c r="BA7" i="11" s="1"/>
  <c r="BM4" i="11"/>
  <c r="BM6" i="11" s="1"/>
  <c r="BM7" i="11" s="1"/>
  <c r="S15" i="11"/>
  <c r="AE15" i="11"/>
  <c r="AQ15" i="11"/>
  <c r="BC15" i="11"/>
  <c r="BO15" i="11"/>
  <c r="CA15" i="11"/>
  <c r="CM15" i="11"/>
  <c r="DK15" i="11"/>
  <c r="DW15" i="11"/>
  <c r="DW17" i="11" s="1"/>
  <c r="AP4" i="11"/>
  <c r="AP6" i="11" s="1"/>
  <c r="AP7" i="11" s="1"/>
  <c r="BB4" i="11"/>
  <c r="BB6" i="11" s="1"/>
  <c r="BB7" i="11" s="1"/>
  <c r="BN4" i="11"/>
  <c r="BN6" i="11" s="1"/>
  <c r="BN7" i="11" s="1"/>
  <c r="T15" i="11"/>
  <c r="AF15" i="11"/>
  <c r="AR15" i="11"/>
  <c r="BD15" i="11"/>
  <c r="BP15" i="11"/>
  <c r="CB15" i="11"/>
  <c r="CN15" i="11"/>
  <c r="DL15" i="11"/>
  <c r="DX15" i="11"/>
  <c r="DX17" i="11" s="1"/>
  <c r="U15" i="11"/>
  <c r="AG15" i="11"/>
  <c r="AS15" i="11"/>
  <c r="BE15" i="11"/>
  <c r="BQ15" i="11"/>
  <c r="CC15" i="11"/>
  <c r="CO15" i="11"/>
  <c r="DA15" i="11"/>
  <c r="DM15" i="11"/>
  <c r="DM17" i="11" s="1"/>
  <c r="DY15" i="11"/>
  <c r="DY17" i="11" s="1"/>
  <c r="T4" i="11"/>
  <c r="T6" i="11" s="1"/>
  <c r="T7" i="11" s="1"/>
  <c r="AF4" i="11"/>
  <c r="AF6" i="11" s="1"/>
  <c r="AF7" i="11" s="1"/>
  <c r="AR4" i="11"/>
  <c r="AR6" i="11" s="1"/>
  <c r="AR7" i="11" s="1"/>
  <c r="BD4" i="11"/>
  <c r="BD6" i="11" s="1"/>
  <c r="BD7" i="11" s="1"/>
  <c r="Z11" i="11"/>
  <c r="Z17" i="11" s="1"/>
  <c r="AL11" i="11"/>
  <c r="AL17" i="11" s="1"/>
  <c r="AX11" i="11"/>
  <c r="BJ11" i="11"/>
  <c r="BJ17" i="11" s="1"/>
  <c r="BV11" i="11"/>
  <c r="BV17" i="11" s="1"/>
  <c r="CH11" i="11"/>
  <c r="CH17" i="11" s="1"/>
  <c r="CT11" i="11"/>
  <c r="AG4" i="11"/>
  <c r="AG6" i="11" s="1"/>
  <c r="AG7" i="11" s="1"/>
  <c r="AS4" i="11"/>
  <c r="AS6" i="11" s="1"/>
  <c r="AS7" i="11" s="1"/>
  <c r="BE4" i="11"/>
  <c r="BE6" i="11" s="1"/>
  <c r="BE7" i="11" s="1"/>
  <c r="CW4" i="11"/>
  <c r="CW6" i="11" s="1"/>
  <c r="CW7" i="11" s="1"/>
  <c r="CW17" i="11" s="1"/>
  <c r="AA11" i="11"/>
  <c r="AM11" i="11"/>
  <c r="AY11" i="11"/>
  <c r="BK11" i="11"/>
  <c r="BW11" i="11"/>
  <c r="CI11" i="11"/>
  <c r="CI17" i="11" s="1"/>
  <c r="CU11" i="11"/>
  <c r="W15" i="11"/>
  <c r="AI15" i="11"/>
  <c r="AU15" i="11"/>
  <c r="BG15" i="11"/>
  <c r="BS15" i="11"/>
  <c r="CE15" i="11"/>
  <c r="CQ15" i="11"/>
  <c r="DC15" i="11"/>
  <c r="DO15" i="11"/>
  <c r="EA15" i="11"/>
  <c r="EA17" i="11" s="1"/>
  <c r="X15" i="11"/>
  <c r="AJ15" i="11"/>
  <c r="AV15" i="11"/>
  <c r="BH15" i="11"/>
  <c r="BT15" i="11"/>
  <c r="CF15" i="11"/>
  <c r="CR15" i="11"/>
  <c r="DD15" i="11"/>
  <c r="DP15" i="11"/>
  <c r="EB15" i="11"/>
  <c r="EB17" i="11" s="1"/>
  <c r="W4" i="11"/>
  <c r="W6" i="11" s="1"/>
  <c r="W7" i="11" s="1"/>
  <c r="AI4" i="11"/>
  <c r="AI6" i="11" s="1"/>
  <c r="AI7" i="11" s="1"/>
  <c r="AU4" i="11"/>
  <c r="AU6" i="11" s="1"/>
  <c r="AU7" i="11" s="1"/>
  <c r="BG4" i="11"/>
  <c r="BG6" i="11" s="1"/>
  <c r="BG7" i="11" s="1"/>
  <c r="DI4" i="11"/>
  <c r="DI6" i="11" s="1"/>
  <c r="DI7" i="11" s="1"/>
  <c r="Y15" i="11"/>
  <c r="AK15" i="11"/>
  <c r="AW15" i="11"/>
  <c r="BI15" i="11"/>
  <c r="BU15" i="11"/>
  <c r="CG15" i="11"/>
  <c r="CG17" i="11" s="1"/>
  <c r="CS15" i="11"/>
  <c r="DE15" i="11"/>
  <c r="DQ15" i="11"/>
  <c r="EC15" i="11"/>
  <c r="EC17" i="11" s="1"/>
  <c r="X4" i="11"/>
  <c r="X6" i="11" s="1"/>
  <c r="X7" i="11" s="1"/>
  <c r="AJ4" i="11"/>
  <c r="AJ6" i="11" s="1"/>
  <c r="AJ7" i="11" s="1"/>
  <c r="AV4" i="11"/>
  <c r="AV6" i="11" s="1"/>
  <c r="AV7" i="11" s="1"/>
  <c r="BH4" i="11"/>
  <c r="BH6" i="11" s="1"/>
  <c r="BH7" i="11" s="1"/>
  <c r="Y4" i="11"/>
  <c r="Y6" i="11" s="1"/>
  <c r="Y7" i="11" s="1"/>
  <c r="AK4" i="11"/>
  <c r="AK6" i="11" s="1"/>
  <c r="AK7" i="11" s="1"/>
  <c r="AW4" i="11"/>
  <c r="AW6" i="11" s="1"/>
  <c r="AW7" i="11" s="1"/>
  <c r="BI4" i="11"/>
  <c r="BI6" i="11" s="1"/>
  <c r="BI7" i="11" s="1"/>
  <c r="AA15" i="11"/>
  <c r="AM15" i="11"/>
  <c r="AY15" i="11"/>
  <c r="BK15" i="11"/>
  <c r="BK17" i="11" s="1"/>
  <c r="BW15" i="11"/>
  <c r="CU15" i="11"/>
  <c r="DG15" i="11"/>
  <c r="DS15" i="11"/>
  <c r="DS17" i="11" s="1"/>
  <c r="ED17" i="11"/>
  <c r="CY17" i="11"/>
  <c r="DZ17" i="11"/>
  <c r="CX4" i="11"/>
  <c r="CX6" i="11" s="1"/>
  <c r="CX7" i="11" s="1"/>
  <c r="CX17" i="11" s="1"/>
  <c r="CZ4" i="11"/>
  <c r="CZ6" i="11" s="1"/>
  <c r="CZ7" i="11" s="1"/>
  <c r="CZ17" i="11" s="1"/>
  <c r="DA4" i="11"/>
  <c r="DA6" i="11" s="1"/>
  <c r="DA7" i="11" s="1"/>
  <c r="DB4" i="11"/>
  <c r="DB6" i="11" s="1"/>
  <c r="DB7" i="11" s="1"/>
  <c r="DC4" i="11"/>
  <c r="DC6" i="11" s="1"/>
  <c r="DC7" i="11" s="1"/>
  <c r="DD4" i="11"/>
  <c r="DD6" i="11" s="1"/>
  <c r="DD7" i="11" s="1"/>
  <c r="DE4" i="11"/>
  <c r="DE6" i="11" s="1"/>
  <c r="DE7" i="11" s="1"/>
  <c r="CV4" i="11"/>
  <c r="CV6" i="11" s="1"/>
  <c r="CV7" i="11" s="1"/>
  <c r="CV17" i="11" s="1"/>
  <c r="DH4" i="11"/>
  <c r="DH6" i="11" s="1"/>
  <c r="DH7" i="11" s="1"/>
  <c r="E21" i="10"/>
  <c r="E15" i="10"/>
  <c r="E11" i="10"/>
  <c r="E5" i="10"/>
  <c r="E4" i="10"/>
  <c r="E6" i="10" s="1"/>
  <c r="E7" i="10" s="1"/>
  <c r="F13" i="10"/>
  <c r="F9" i="10"/>
  <c r="F14" i="10"/>
  <c r="F10" i="10"/>
  <c r="F3" i="10"/>
  <c r="DL17" i="11" l="1"/>
  <c r="BT17" i="11"/>
  <c r="AB17" i="11"/>
  <c r="CR17" i="11"/>
  <c r="CU17" i="11"/>
  <c r="AJ17" i="11"/>
  <c r="CF17" i="11"/>
  <c r="DN17" i="11"/>
  <c r="DQ17" i="11"/>
  <c r="DO17" i="11"/>
  <c r="BY17" i="11"/>
  <c r="V17" i="11"/>
  <c r="AE17" i="11"/>
  <c r="BF17" i="11"/>
  <c r="CE17" i="11"/>
  <c r="CO17" i="11"/>
  <c r="DF17" i="11"/>
  <c r="Q17" i="11"/>
  <c r="BU17" i="11"/>
  <c r="CK17" i="11"/>
  <c r="AX17" i="11"/>
  <c r="BS17" i="11"/>
  <c r="CS17" i="11"/>
  <c r="CQ17" i="11"/>
  <c r="CT17" i="11"/>
  <c r="BW17" i="11"/>
  <c r="AD17" i="11"/>
  <c r="R17" i="11"/>
  <c r="BL17" i="11"/>
  <c r="BQ17" i="11"/>
  <c r="T17" i="11"/>
  <c r="AF17" i="11"/>
  <c r="AZ17" i="11"/>
  <c r="S17" i="11"/>
  <c r="CN17" i="11"/>
  <c r="DA17" i="11"/>
  <c r="DD17" i="11"/>
  <c r="BD17" i="11"/>
  <c r="BN17" i="11"/>
  <c r="BA17" i="11"/>
  <c r="BP17" i="11"/>
  <c r="DB17" i="11"/>
  <c r="BG17" i="11"/>
  <c r="AU17" i="11"/>
  <c r="AT17" i="11"/>
  <c r="AI17" i="11"/>
  <c r="DP17" i="11"/>
  <c r="AA17" i="11"/>
  <c r="BM17" i="11"/>
  <c r="AN17" i="11"/>
  <c r="DC17" i="11"/>
  <c r="DK17" i="11"/>
  <c r="P17" i="11"/>
  <c r="CB17" i="11"/>
  <c r="DI17" i="11"/>
  <c r="DG17" i="11"/>
  <c r="DE17" i="11"/>
  <c r="CC17" i="11"/>
  <c r="AR17" i="11"/>
  <c r="AQ17" i="11"/>
  <c r="AW17" i="11"/>
  <c r="BE17" i="11"/>
  <c r="U17" i="11"/>
  <c r="AP17" i="11"/>
  <c r="AO17" i="11"/>
  <c r="AC17" i="11"/>
  <c r="BB17" i="11"/>
  <c r="BH17" i="11"/>
  <c r="W17" i="11"/>
  <c r="CM17" i="11"/>
  <c r="CA17" i="11"/>
  <c r="BI17" i="11"/>
  <c r="AG17" i="11"/>
  <c r="BX17" i="11"/>
  <c r="AK17" i="11"/>
  <c r="Y17" i="11"/>
  <c r="AV17" i="11"/>
  <c r="AY17" i="11"/>
  <c r="X17" i="11"/>
  <c r="BO17" i="11"/>
  <c r="AS17" i="11"/>
  <c r="DH17" i="11"/>
  <c r="AM17" i="11"/>
  <c r="BC17" i="11"/>
  <c r="E17" i="10"/>
  <c r="F21" i="10"/>
  <c r="F15" i="10"/>
  <c r="F11" i="10"/>
  <c r="F5" i="10"/>
  <c r="G13" i="10"/>
  <c r="G14" i="10"/>
  <c r="G10" i="10"/>
  <c r="G9" i="10"/>
  <c r="G3" i="10"/>
  <c r="G21" i="10" l="1"/>
  <c r="G15" i="10"/>
  <c r="G11" i="10"/>
  <c r="G5" i="10"/>
  <c r="H13" i="10"/>
  <c r="H9" i="10"/>
  <c r="H10" i="10"/>
  <c r="H14" i="10"/>
  <c r="H3" i="10"/>
  <c r="F4" i="10" s="1"/>
  <c r="F6" i="10" s="1"/>
  <c r="F7" i="10" s="1"/>
  <c r="F17" i="10" s="1"/>
  <c r="H21" i="10" l="1"/>
  <c r="H15" i="10"/>
  <c r="H11" i="10"/>
  <c r="H5" i="10"/>
  <c r="I13" i="10"/>
  <c r="I9" i="10"/>
  <c r="I14" i="10"/>
  <c r="I10" i="10"/>
  <c r="I3" i="10"/>
  <c r="I21" i="10"/>
  <c r="I11" i="10"/>
  <c r="I5" i="10"/>
  <c r="J14" i="10"/>
  <c r="J13" i="10"/>
  <c r="J9" i="10"/>
  <c r="J10" i="10"/>
  <c r="J3" i="10"/>
  <c r="H4" i="10" l="1"/>
  <c r="H6" i="10" s="1"/>
  <c r="H7" i="10" s="1"/>
  <c r="H17" i="10" s="1"/>
  <c r="G4" i="10"/>
  <c r="G6" i="10" s="1"/>
  <c r="G7" i="10" s="1"/>
  <c r="G17" i="10" s="1"/>
  <c r="I15" i="10"/>
  <c r="J21" i="10"/>
  <c r="J15" i="10"/>
  <c r="J11" i="10"/>
  <c r="J5" i="10"/>
  <c r="L9" i="10"/>
  <c r="L13" i="10"/>
  <c r="K14" i="10" l="1"/>
  <c r="K13" i="10"/>
  <c r="K9" i="10"/>
  <c r="K10" i="10"/>
  <c r="K3" i="10"/>
  <c r="I4" i="10" l="1"/>
  <c r="I6" i="10" s="1"/>
  <c r="I7" i="10" s="1"/>
  <c r="I17" i="10" s="1"/>
  <c r="K21" i="10"/>
  <c r="K15" i="10"/>
  <c r="K11" i="10"/>
  <c r="K5" i="10"/>
  <c r="L14" i="10"/>
  <c r="L10" i="10"/>
  <c r="L3" i="10"/>
  <c r="J4" i="10" s="1"/>
  <c r="J6" i="10" s="1"/>
  <c r="J7" i="10" s="1"/>
  <c r="J17" i="10" s="1"/>
  <c r="L21" i="10" l="1"/>
  <c r="L15" i="10"/>
  <c r="L11" i="10"/>
  <c r="L5" i="10"/>
  <c r="M9" i="10"/>
  <c r="M13" i="10"/>
  <c r="M3" i="10"/>
  <c r="M14" i="10"/>
  <c r="M10" i="10"/>
  <c r="M11" i="10" s="1"/>
  <c r="Y3" i="10"/>
  <c r="M21" i="10"/>
  <c r="M5" i="10"/>
  <c r="N14" i="10"/>
  <c r="N13" i="10"/>
  <c r="N9" i="10"/>
  <c r="N3" i="10"/>
  <c r="N10" i="10"/>
  <c r="N21" i="10"/>
  <c r="N5" i="10"/>
  <c r="O13" i="10"/>
  <c r="O14" i="10"/>
  <c r="O10" i="10"/>
  <c r="O9" i="10"/>
  <c r="O3" i="10"/>
  <c r="O5" i="10"/>
  <c r="O21" i="10"/>
  <c r="P13" i="10"/>
  <c r="P14" i="10"/>
  <c r="P10" i="10"/>
  <c r="P9" i="10"/>
  <c r="P5" i="10"/>
  <c r="P3" i="10"/>
  <c r="P21" i="10"/>
  <c r="DS21" i="10"/>
  <c r="DR21" i="10"/>
  <c r="DQ21" i="10"/>
  <c r="DP21" i="10"/>
  <c r="DO21" i="10"/>
  <c r="DN21" i="10"/>
  <c r="DM21" i="10"/>
  <c r="DL21" i="10"/>
  <c r="DK21" i="10"/>
  <c r="DJ21" i="10"/>
  <c r="DI21" i="10"/>
  <c r="DH21" i="10"/>
  <c r="DG21" i="10"/>
  <c r="DF21" i="10"/>
  <c r="DE21" i="10"/>
  <c r="DD21" i="10"/>
  <c r="DC21" i="10"/>
  <c r="DB21" i="10"/>
  <c r="DA21" i="10"/>
  <c r="CZ21" i="10"/>
  <c r="CY21" i="10"/>
  <c r="CX21" i="10"/>
  <c r="CW21" i="10"/>
  <c r="CV21" i="10"/>
  <c r="CU21" i="10"/>
  <c r="CT21" i="10"/>
  <c r="CS21" i="10"/>
  <c r="CR21" i="10"/>
  <c r="CQ21" i="10"/>
  <c r="CP21" i="10"/>
  <c r="CO21" i="10"/>
  <c r="CN21" i="10"/>
  <c r="CM21" i="10"/>
  <c r="CL21" i="10"/>
  <c r="CK21" i="10"/>
  <c r="CJ21" i="10"/>
  <c r="CI21" i="10"/>
  <c r="CH21" i="10"/>
  <c r="CG21" i="10"/>
  <c r="CF21" i="10"/>
  <c r="CE21" i="10"/>
  <c r="CD21" i="10"/>
  <c r="CC21" i="10"/>
  <c r="CB21" i="10"/>
  <c r="CA21" i="10"/>
  <c r="BZ21" i="10"/>
  <c r="BY21" i="10"/>
  <c r="BX21" i="10"/>
  <c r="BW21" i="10"/>
  <c r="BV21" i="10"/>
  <c r="BU21" i="10"/>
  <c r="BT21" i="10"/>
  <c r="BS21" i="10"/>
  <c r="BR21" i="10"/>
  <c r="BQ21" i="10"/>
  <c r="BP21" i="10"/>
  <c r="BO21" i="10"/>
  <c r="BN21" i="10"/>
  <c r="BM21" i="10"/>
  <c r="BL21" i="10"/>
  <c r="BK21" i="10"/>
  <c r="BJ21" i="10"/>
  <c r="BI21" i="10"/>
  <c r="BH21" i="10"/>
  <c r="BG21" i="10"/>
  <c r="BF21" i="10"/>
  <c r="BE21" i="10"/>
  <c r="BD21" i="10"/>
  <c r="BC21" i="10"/>
  <c r="BB21" i="10"/>
  <c r="BA21" i="10"/>
  <c r="AZ21" i="10"/>
  <c r="AY21" i="10"/>
  <c r="AX21" i="10"/>
  <c r="AW21" i="10"/>
  <c r="AV21" i="10"/>
  <c r="AU21" i="10"/>
  <c r="AT21" i="10"/>
  <c r="AS21" i="10"/>
  <c r="AR21" i="10"/>
  <c r="AQ21" i="10"/>
  <c r="AP21" i="10"/>
  <c r="AO21" i="10"/>
  <c r="AN21" i="10"/>
  <c r="AM21" i="10"/>
  <c r="AL21" i="10"/>
  <c r="AK21" i="10"/>
  <c r="AJ21" i="10"/>
  <c r="AI21" i="10"/>
  <c r="AH21" i="10"/>
  <c r="AG21" i="10"/>
  <c r="AF21" i="10"/>
  <c r="AE21" i="10"/>
  <c r="AD21" i="10"/>
  <c r="AC21" i="10"/>
  <c r="AB21" i="10"/>
  <c r="AA21" i="10"/>
  <c r="Z21" i="10"/>
  <c r="Y21" i="10"/>
  <c r="X21" i="10"/>
  <c r="W21" i="10"/>
  <c r="V21" i="10"/>
  <c r="U21" i="10"/>
  <c r="T21" i="10"/>
  <c r="S21" i="10"/>
  <c r="R21" i="10"/>
  <c r="Q21" i="10"/>
  <c r="DS14" i="10"/>
  <c r="DR14" i="10"/>
  <c r="DQ14" i="10"/>
  <c r="DP14" i="10"/>
  <c r="DO14" i="10"/>
  <c r="DN14" i="10"/>
  <c r="DM14" i="10"/>
  <c r="DL14" i="10"/>
  <c r="DK14" i="10"/>
  <c r="DJ14" i="10"/>
  <c r="DI14" i="10"/>
  <c r="DH14" i="10"/>
  <c r="DG14" i="10"/>
  <c r="DF14" i="10"/>
  <c r="DE14" i="10"/>
  <c r="DD14" i="10"/>
  <c r="DC14" i="10"/>
  <c r="DB14" i="10"/>
  <c r="DA14" i="10"/>
  <c r="CZ14" i="10"/>
  <c r="CY14" i="10"/>
  <c r="CX14" i="10"/>
  <c r="CW14" i="10"/>
  <c r="CV14" i="10"/>
  <c r="CU14" i="10"/>
  <c r="CT14" i="10"/>
  <c r="CS14" i="10"/>
  <c r="CR14" i="10"/>
  <c r="CQ14" i="10"/>
  <c r="CP14" i="10"/>
  <c r="CO14" i="10"/>
  <c r="CO15" i="10" s="1"/>
  <c r="CN14" i="10"/>
  <c r="CN15" i="10" s="1"/>
  <c r="CM14" i="10"/>
  <c r="CM15" i="10" s="1"/>
  <c r="CL14" i="10"/>
  <c r="CL15" i="10" s="1"/>
  <c r="CK14" i="10"/>
  <c r="CK15" i="10" s="1"/>
  <c r="CJ14" i="10"/>
  <c r="CI14" i="10"/>
  <c r="CH14" i="10"/>
  <c r="CG14" i="10"/>
  <c r="CF14" i="10"/>
  <c r="CE14" i="10"/>
  <c r="CD14" i="10"/>
  <c r="CC14" i="10"/>
  <c r="CB14" i="10"/>
  <c r="CA14" i="10"/>
  <c r="BZ14" i="10"/>
  <c r="BY14" i="10"/>
  <c r="BX14" i="10"/>
  <c r="BX15" i="10" s="1"/>
  <c r="BW14" i="10"/>
  <c r="BV14" i="10"/>
  <c r="BU14" i="10"/>
  <c r="BT14" i="10"/>
  <c r="BS14" i="10"/>
  <c r="BR14" i="10"/>
  <c r="BQ14" i="10"/>
  <c r="BP14" i="10"/>
  <c r="BO14" i="10"/>
  <c r="BN14" i="10"/>
  <c r="BM14" i="10"/>
  <c r="BL14" i="10"/>
  <c r="BK14" i="10"/>
  <c r="BJ14" i="10"/>
  <c r="BI14" i="10"/>
  <c r="BH14" i="10"/>
  <c r="BG14" i="10"/>
  <c r="BF14" i="10"/>
  <c r="BE14" i="10"/>
  <c r="BD14" i="10"/>
  <c r="BC14" i="10"/>
  <c r="BB14" i="10"/>
  <c r="BA14" i="10"/>
  <c r="AZ14" i="10"/>
  <c r="AY14" i="10"/>
  <c r="AX14" i="10"/>
  <c r="AW14" i="10"/>
  <c r="AV14" i="10"/>
  <c r="AU14" i="10"/>
  <c r="AT14" i="10"/>
  <c r="AS14" i="10"/>
  <c r="AR14" i="10"/>
  <c r="AQ14" i="10"/>
  <c r="AP14" i="10"/>
  <c r="AO14" i="10"/>
  <c r="AN14" i="10"/>
  <c r="AM14" i="10"/>
  <c r="AL14" i="10"/>
  <c r="AK14" i="10"/>
  <c r="AJ14" i="10"/>
  <c r="AI14" i="10"/>
  <c r="AH14" i="10"/>
  <c r="AG14" i="10"/>
  <c r="AF14" i="10"/>
  <c r="AE14" i="10"/>
  <c r="AD14" i="10"/>
  <c r="AC14" i="10"/>
  <c r="AB14" i="10"/>
  <c r="AA14" i="10"/>
  <c r="Z14" i="10"/>
  <c r="Y14" i="10"/>
  <c r="X14" i="10"/>
  <c r="W14" i="10"/>
  <c r="V14" i="10"/>
  <c r="U14" i="10"/>
  <c r="T14" i="10"/>
  <c r="S14" i="10"/>
  <c r="R14" i="10"/>
  <c r="Q14" i="10"/>
  <c r="DS13" i="10"/>
  <c r="DR13" i="10"/>
  <c r="DQ13" i="10"/>
  <c r="DP13" i="10"/>
  <c r="DO13" i="10"/>
  <c r="DN13" i="10"/>
  <c r="DM13" i="10"/>
  <c r="DL13" i="10"/>
  <c r="DK13" i="10"/>
  <c r="DJ13" i="10"/>
  <c r="DI13" i="10"/>
  <c r="DH13" i="10"/>
  <c r="DG13" i="10"/>
  <c r="DF13" i="10"/>
  <c r="DE13" i="10"/>
  <c r="DD13" i="10"/>
  <c r="DC13" i="10"/>
  <c r="DB13" i="10"/>
  <c r="DA13" i="10"/>
  <c r="CZ13" i="10"/>
  <c r="CY13" i="10"/>
  <c r="CX13" i="10"/>
  <c r="CW13" i="10"/>
  <c r="CV13" i="10"/>
  <c r="CU13" i="10"/>
  <c r="CT13" i="10"/>
  <c r="CS13" i="10"/>
  <c r="CR13" i="10"/>
  <c r="CQ13" i="10"/>
  <c r="CP13" i="10"/>
  <c r="CJ13" i="10"/>
  <c r="CI13" i="10"/>
  <c r="CH13" i="10"/>
  <c r="CG13" i="10"/>
  <c r="CF13" i="10"/>
  <c r="CE13" i="10"/>
  <c r="CD13" i="10"/>
  <c r="CC13" i="10"/>
  <c r="CB13" i="10"/>
  <c r="CA13" i="10"/>
  <c r="BZ13" i="10"/>
  <c r="BY13" i="10"/>
  <c r="BW13" i="10"/>
  <c r="BV13" i="10"/>
  <c r="BU13" i="10"/>
  <c r="BT13" i="10"/>
  <c r="BS13" i="10"/>
  <c r="BR13" i="10"/>
  <c r="BQ13" i="10"/>
  <c r="BP13" i="10"/>
  <c r="BO13" i="10"/>
  <c r="BN13" i="10"/>
  <c r="BM13" i="10"/>
  <c r="BL13" i="10"/>
  <c r="BK13" i="10"/>
  <c r="BJ13" i="10"/>
  <c r="BI13" i="10"/>
  <c r="BH13" i="10"/>
  <c r="BG13" i="10"/>
  <c r="BF13" i="10"/>
  <c r="BE13" i="10"/>
  <c r="BD13" i="10"/>
  <c r="BC13" i="10"/>
  <c r="BB13" i="10"/>
  <c r="BA13" i="10"/>
  <c r="AZ13" i="10"/>
  <c r="AY13" i="10"/>
  <c r="AX13" i="10"/>
  <c r="AW13" i="10"/>
  <c r="AV13" i="10"/>
  <c r="AU13" i="10"/>
  <c r="AT13" i="10"/>
  <c r="AS13" i="10"/>
  <c r="AR13" i="10"/>
  <c r="AQ13" i="10"/>
  <c r="AP13" i="10"/>
  <c r="AO13" i="10"/>
  <c r="AN13" i="10"/>
  <c r="AM13" i="10"/>
  <c r="AL13" i="10"/>
  <c r="AK13" i="10"/>
  <c r="AJ13" i="10"/>
  <c r="AI13" i="10"/>
  <c r="AH13" i="10"/>
  <c r="AG13" i="10"/>
  <c r="AF13" i="10"/>
  <c r="AE13" i="10"/>
  <c r="AD13" i="10"/>
  <c r="AC13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DG10" i="10"/>
  <c r="DF10" i="10"/>
  <c r="DE10" i="10"/>
  <c r="DD10" i="10"/>
  <c r="DC10" i="10"/>
  <c r="DB10" i="10"/>
  <c r="DA10" i="10"/>
  <c r="CZ10" i="10"/>
  <c r="CY10" i="10"/>
  <c r="CX10" i="10"/>
  <c r="CW10" i="10"/>
  <c r="CV10" i="10"/>
  <c r="CU10" i="10"/>
  <c r="CT10" i="10"/>
  <c r="CS10" i="10"/>
  <c r="CR10" i="10"/>
  <c r="CQ10" i="10"/>
  <c r="CP10" i="10"/>
  <c r="CO10" i="10"/>
  <c r="CO11" i="10" s="1"/>
  <c r="CN10" i="10"/>
  <c r="CN11" i="10" s="1"/>
  <c r="CM10" i="10"/>
  <c r="CM11" i="10" s="1"/>
  <c r="CL10" i="10"/>
  <c r="CL11" i="10" s="1"/>
  <c r="CK10" i="10"/>
  <c r="CK11" i="10" s="1"/>
  <c r="CJ10" i="10"/>
  <c r="CI10" i="10"/>
  <c r="CH10" i="10"/>
  <c r="CG10" i="10"/>
  <c r="CF10" i="10"/>
  <c r="CE10" i="10"/>
  <c r="CD10" i="10"/>
  <c r="CC10" i="10"/>
  <c r="CB10" i="10"/>
  <c r="CA10" i="10"/>
  <c r="BZ10" i="10"/>
  <c r="BY10" i="10"/>
  <c r="BX10" i="10"/>
  <c r="BW10" i="10"/>
  <c r="BV10" i="10"/>
  <c r="BU10" i="10"/>
  <c r="BT10" i="10"/>
  <c r="BS10" i="10"/>
  <c r="BR10" i="10"/>
  <c r="BQ10" i="10"/>
  <c r="BP10" i="10"/>
  <c r="BO10" i="10"/>
  <c r="BN10" i="10"/>
  <c r="BM10" i="10"/>
  <c r="BL10" i="10"/>
  <c r="BK10" i="10"/>
  <c r="BJ10" i="10"/>
  <c r="BI10" i="10"/>
  <c r="BH10" i="10"/>
  <c r="BG10" i="10"/>
  <c r="BF10" i="10"/>
  <c r="BE10" i="10"/>
  <c r="BD10" i="10"/>
  <c r="BC10" i="10"/>
  <c r="BB10" i="10"/>
  <c r="BA10" i="10"/>
  <c r="AZ10" i="10"/>
  <c r="AY10" i="10"/>
  <c r="AX10" i="10"/>
  <c r="AW10" i="10"/>
  <c r="AV10" i="10"/>
  <c r="AU10" i="10"/>
  <c r="AT10" i="10"/>
  <c r="AS10" i="10"/>
  <c r="AR10" i="10"/>
  <c r="AQ10" i="10"/>
  <c r="AP10" i="10"/>
  <c r="AO10" i="10"/>
  <c r="AN10" i="10"/>
  <c r="AM10" i="10"/>
  <c r="AL10" i="10"/>
  <c r="AK10" i="10"/>
  <c r="AJ10" i="10"/>
  <c r="AI10" i="10"/>
  <c r="AH10" i="10"/>
  <c r="AG10" i="10"/>
  <c r="AF10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DG9" i="10"/>
  <c r="DG11" i="10" s="1"/>
  <c r="DF9" i="10"/>
  <c r="DE9" i="10"/>
  <c r="DD9" i="10"/>
  <c r="DC9" i="10"/>
  <c r="DB9" i="10"/>
  <c r="DA9" i="10"/>
  <c r="CZ9" i="10"/>
  <c r="CY9" i="10"/>
  <c r="CX9" i="10"/>
  <c r="CW9" i="10"/>
  <c r="CV9" i="10"/>
  <c r="CU9" i="10"/>
  <c r="CU11" i="10" s="1"/>
  <c r="CT9" i="10"/>
  <c r="CS9" i="10"/>
  <c r="CR9" i="10"/>
  <c r="CQ9" i="10"/>
  <c r="CQ11" i="10" s="1"/>
  <c r="CP9" i="10"/>
  <c r="CJ9" i="10"/>
  <c r="CI9" i="10"/>
  <c r="CI11" i="10" s="1"/>
  <c r="CH9" i="10"/>
  <c r="CH11" i="10" s="1"/>
  <c r="CG9" i="10"/>
  <c r="CG11" i="10" s="1"/>
  <c r="CF9" i="10"/>
  <c r="CE9" i="10"/>
  <c r="CE11" i="10" s="1"/>
  <c r="CD9" i="10"/>
  <c r="CC9" i="10"/>
  <c r="CB9" i="10"/>
  <c r="CA9" i="10"/>
  <c r="BZ9" i="10"/>
  <c r="BY9" i="10"/>
  <c r="BX9" i="10"/>
  <c r="BW9" i="10"/>
  <c r="BW11" i="10" s="1"/>
  <c r="BV9" i="10"/>
  <c r="BV11" i="10" s="1"/>
  <c r="BU9" i="10"/>
  <c r="BU11" i="10" s="1"/>
  <c r="BT9" i="10"/>
  <c r="BS9" i="10"/>
  <c r="BS11" i="10" s="1"/>
  <c r="BR9" i="10"/>
  <c r="BQ9" i="10"/>
  <c r="BP9" i="10"/>
  <c r="BO9" i="10"/>
  <c r="BN9" i="10"/>
  <c r="BM9" i="10"/>
  <c r="BL9" i="10"/>
  <c r="BK9" i="10"/>
  <c r="BK11" i="10" s="1"/>
  <c r="BJ9" i="10"/>
  <c r="BJ11" i="10" s="1"/>
  <c r="BI9" i="10"/>
  <c r="BI11" i="10" s="1"/>
  <c r="BH9" i="10"/>
  <c r="BG9" i="10"/>
  <c r="BG11" i="10" s="1"/>
  <c r="BF9" i="10"/>
  <c r="BE9" i="10"/>
  <c r="BD9" i="10"/>
  <c r="BC9" i="10"/>
  <c r="BB9" i="10"/>
  <c r="BA9" i="10"/>
  <c r="AZ9" i="10"/>
  <c r="AY9" i="10"/>
  <c r="AY11" i="10" s="1"/>
  <c r="AX9" i="10"/>
  <c r="AX11" i="10" s="1"/>
  <c r="AW9" i="10"/>
  <c r="AW11" i="10" s="1"/>
  <c r="AV9" i="10"/>
  <c r="AU9" i="10"/>
  <c r="AU11" i="10" s="1"/>
  <c r="AT9" i="10"/>
  <c r="AS9" i="10"/>
  <c r="AR9" i="10"/>
  <c r="AQ9" i="10"/>
  <c r="AP9" i="10"/>
  <c r="AO9" i="10"/>
  <c r="AN9" i="10"/>
  <c r="AM9" i="10"/>
  <c r="AM11" i="10" s="1"/>
  <c r="AL9" i="10"/>
  <c r="AL11" i="10" s="1"/>
  <c r="AK9" i="10"/>
  <c r="AK11" i="10" s="1"/>
  <c r="AJ9" i="10"/>
  <c r="AI9" i="10"/>
  <c r="AI11" i="10" s="1"/>
  <c r="AH9" i="10"/>
  <c r="AG9" i="10"/>
  <c r="AF9" i="10"/>
  <c r="AE9" i="10"/>
  <c r="AD9" i="10"/>
  <c r="AC9" i="10"/>
  <c r="AB9" i="10"/>
  <c r="AA9" i="10"/>
  <c r="AA11" i="10" s="1"/>
  <c r="Z9" i="10"/>
  <c r="Z11" i="10" s="1"/>
  <c r="Y9" i="10"/>
  <c r="Y11" i="10" s="1"/>
  <c r="X9" i="10"/>
  <c r="W9" i="10"/>
  <c r="W11" i="10" s="1"/>
  <c r="V9" i="10"/>
  <c r="U9" i="10"/>
  <c r="T9" i="10"/>
  <c r="S9" i="10"/>
  <c r="R9" i="10"/>
  <c r="Q9" i="10"/>
  <c r="DS4" i="10"/>
  <c r="DS6" i="10" s="1"/>
  <c r="DS7" i="10" s="1"/>
  <c r="DR4" i="10"/>
  <c r="DR6" i="10" s="1"/>
  <c r="DR7" i="10" s="1"/>
  <c r="DQ4" i="10"/>
  <c r="DQ6" i="10" s="1"/>
  <c r="DQ7" i="10" s="1"/>
  <c r="DP4" i="10"/>
  <c r="DP6" i="10" s="1"/>
  <c r="DP7" i="10" s="1"/>
  <c r="DO4" i="10"/>
  <c r="DO6" i="10" s="1"/>
  <c r="DO7" i="10" s="1"/>
  <c r="DN4" i="10"/>
  <c r="DN6" i="10" s="1"/>
  <c r="DN7" i="10" s="1"/>
  <c r="DM4" i="10"/>
  <c r="DM6" i="10" s="1"/>
  <c r="DM7" i="10" s="1"/>
  <c r="DL4" i="10"/>
  <c r="DL6" i="10" s="1"/>
  <c r="DL7" i="10" s="1"/>
  <c r="DK4" i="10"/>
  <c r="DK6" i="10" s="1"/>
  <c r="DK7" i="10" s="1"/>
  <c r="DJ4" i="10"/>
  <c r="DJ6" i="10" s="1"/>
  <c r="DJ7" i="10" s="1"/>
  <c r="DI4" i="10"/>
  <c r="DI6" i="10" s="1"/>
  <c r="DI7" i="10" s="1"/>
  <c r="DH4" i="10"/>
  <c r="DH6" i="10" s="1"/>
  <c r="DH7" i="10" s="1"/>
  <c r="DG4" i="10"/>
  <c r="DG6" i="10" s="1"/>
  <c r="DG7" i="10" s="1"/>
  <c r="DF4" i="10"/>
  <c r="DF6" i="10" s="1"/>
  <c r="DF7" i="10" s="1"/>
  <c r="DE4" i="10"/>
  <c r="DE6" i="10" s="1"/>
  <c r="DE7" i="10" s="1"/>
  <c r="DD4" i="10"/>
  <c r="DD6" i="10" s="1"/>
  <c r="DD7" i="10" s="1"/>
  <c r="DC4" i="10"/>
  <c r="DC6" i="10" s="1"/>
  <c r="DC7" i="10" s="1"/>
  <c r="DB4" i="10"/>
  <c r="DB6" i="10" s="1"/>
  <c r="DB7" i="10" s="1"/>
  <c r="DA4" i="10"/>
  <c r="DA6" i="10" s="1"/>
  <c r="DA7" i="10" s="1"/>
  <c r="CZ4" i="10"/>
  <c r="CZ6" i="10" s="1"/>
  <c r="CZ7" i="10" s="1"/>
  <c r="CV4" i="10"/>
  <c r="CV6" i="10" s="1"/>
  <c r="CV7" i="10" s="1"/>
  <c r="CJ4" i="10"/>
  <c r="CJ6" i="10" s="1"/>
  <c r="CJ7" i="10" s="1"/>
  <c r="CI4" i="10"/>
  <c r="CI6" i="10" s="1"/>
  <c r="CI7" i="10" s="1"/>
  <c r="CH4" i="10"/>
  <c r="CH6" i="10" s="1"/>
  <c r="CH7" i="10" s="1"/>
  <c r="CG4" i="10"/>
  <c r="CG6" i="10" s="1"/>
  <c r="CG7" i="10" s="1"/>
  <c r="CF4" i="10"/>
  <c r="CF6" i="10" s="1"/>
  <c r="CF7" i="10" s="1"/>
  <c r="CE4" i="10"/>
  <c r="CE6" i="10" s="1"/>
  <c r="CE7" i="10" s="1"/>
  <c r="CD4" i="10"/>
  <c r="CD6" i="10" s="1"/>
  <c r="CD7" i="10" s="1"/>
  <c r="CC4" i="10"/>
  <c r="CC6" i="10" s="1"/>
  <c r="CC7" i="10" s="1"/>
  <c r="CB4" i="10"/>
  <c r="CB6" i="10" s="1"/>
  <c r="CB7" i="10" s="1"/>
  <c r="CA4" i="10"/>
  <c r="CA6" i="10" s="1"/>
  <c r="CA7" i="10" s="1"/>
  <c r="BZ4" i="10"/>
  <c r="BZ6" i="10" s="1"/>
  <c r="BZ7" i="10" s="1"/>
  <c r="BY4" i="10"/>
  <c r="BY6" i="10" s="1"/>
  <c r="BY7" i="10" s="1"/>
  <c r="BX4" i="10"/>
  <c r="BX6" i="10" s="1"/>
  <c r="BX7" i="10" s="1"/>
  <c r="BW4" i="10"/>
  <c r="BW6" i="10" s="1"/>
  <c r="BW7" i="10" s="1"/>
  <c r="BV4" i="10"/>
  <c r="BV6" i="10" s="1"/>
  <c r="BV7" i="10" s="1"/>
  <c r="BU4" i="10"/>
  <c r="BU6" i="10" s="1"/>
  <c r="BU7" i="10" s="1"/>
  <c r="BT4" i="10"/>
  <c r="BT6" i="10" s="1"/>
  <c r="BT7" i="10" s="1"/>
  <c r="BS4" i="10"/>
  <c r="BS6" i="10" s="1"/>
  <c r="BS7" i="10" s="1"/>
  <c r="BR4" i="10"/>
  <c r="BR6" i="10" s="1"/>
  <c r="BR7" i="10" s="1"/>
  <c r="BQ4" i="10"/>
  <c r="BQ6" i="10" s="1"/>
  <c r="BQ7" i="10" s="1"/>
  <c r="BP4" i="10"/>
  <c r="BP6" i="10" s="1"/>
  <c r="BP7" i="10" s="1"/>
  <c r="BO4" i="10"/>
  <c r="BO6" i="10" s="1"/>
  <c r="BO7" i="10" s="1"/>
  <c r="BN4" i="10"/>
  <c r="BN6" i="10" s="1"/>
  <c r="BN7" i="10" s="1"/>
  <c r="BM4" i="10"/>
  <c r="BM6" i="10" s="1"/>
  <c r="BM7" i="10" s="1"/>
  <c r="BL4" i="10"/>
  <c r="BL6" i="10" s="1"/>
  <c r="BL7" i="10" s="1"/>
  <c r="BK4" i="10"/>
  <c r="BK6" i="10" s="1"/>
  <c r="BK7" i="10" s="1"/>
  <c r="BJ4" i="10"/>
  <c r="BJ6" i="10" s="1"/>
  <c r="BJ7" i="10" s="1"/>
  <c r="BI4" i="10"/>
  <c r="BI6" i="10" s="1"/>
  <c r="BI7" i="10" s="1"/>
  <c r="BH4" i="10"/>
  <c r="BH6" i="10" s="1"/>
  <c r="BH7" i="10" s="1"/>
  <c r="BG4" i="10"/>
  <c r="BG6" i="10" s="1"/>
  <c r="BG7" i="10" s="1"/>
  <c r="BF4" i="10"/>
  <c r="BF6" i="10" s="1"/>
  <c r="BF7" i="10" s="1"/>
  <c r="CY3" i="10"/>
  <c r="CY4" i="10" s="1"/>
  <c r="CY6" i="10" s="1"/>
  <c r="CY7" i="10" s="1"/>
  <c r="CX3" i="10"/>
  <c r="CU3" i="10"/>
  <c r="CN3" i="10"/>
  <c r="BE3" i="10"/>
  <c r="BE4" i="10" s="1"/>
  <c r="BE6" i="10" s="1"/>
  <c r="BE7" i="10" s="1"/>
  <c r="BD3" i="10"/>
  <c r="BC3" i="10"/>
  <c r="BB3" i="10"/>
  <c r="BA3" i="10"/>
  <c r="AZ3" i="10"/>
  <c r="AZ4" i="10" s="1"/>
  <c r="AZ6" i="10" s="1"/>
  <c r="AZ7" i="10" s="1"/>
  <c r="AY3" i="10"/>
  <c r="AY4" i="10" s="1"/>
  <c r="AY6" i="10" s="1"/>
  <c r="AY7" i="10" s="1"/>
  <c r="AX3" i="10"/>
  <c r="AW3" i="10"/>
  <c r="AV3" i="10"/>
  <c r="AU3" i="10"/>
  <c r="AT3" i="10"/>
  <c r="AS3" i="10"/>
  <c r="AR3" i="10"/>
  <c r="AQ3" i="10"/>
  <c r="AP3" i="10"/>
  <c r="AO3" i="10"/>
  <c r="AN3" i="10"/>
  <c r="AM3" i="10"/>
  <c r="AM4" i="10" s="1"/>
  <c r="AM6" i="10" s="1"/>
  <c r="AM7" i="10" s="1"/>
  <c r="AL3" i="10"/>
  <c r="AK3" i="10"/>
  <c r="AJ3" i="10"/>
  <c r="AI3" i="10"/>
  <c r="AH3" i="10"/>
  <c r="AG3" i="10"/>
  <c r="AF3" i="10"/>
  <c r="AE3" i="10"/>
  <c r="AD3" i="10"/>
  <c r="AC3" i="10"/>
  <c r="AB3" i="10"/>
  <c r="AA3" i="10"/>
  <c r="AA4" i="10" s="1"/>
  <c r="AA6" i="10" s="1"/>
  <c r="AA7" i="10" s="1"/>
  <c r="Z3" i="10"/>
  <c r="X3" i="10"/>
  <c r="W3" i="10"/>
  <c r="V3" i="10"/>
  <c r="U3" i="10"/>
  <c r="T3" i="10"/>
  <c r="S3" i="10"/>
  <c r="R3" i="10"/>
  <c r="Q3" i="10"/>
  <c r="E10" i="9"/>
  <c r="E4" i="9"/>
  <c r="E14" i="9"/>
  <c r="E13" i="9"/>
  <c r="E9" i="9"/>
  <c r="E3" i="9"/>
  <c r="E21" i="9"/>
  <c r="E11" i="9"/>
  <c r="F13" i="9"/>
  <c r="F14" i="9"/>
  <c r="F10" i="9"/>
  <c r="F9" i="9"/>
  <c r="H14" i="9"/>
  <c r="G14" i="9"/>
  <c r="H10" i="9"/>
  <c r="G10" i="9"/>
  <c r="F3" i="9"/>
  <c r="F21" i="9"/>
  <c r="F11" i="9"/>
  <c r="G13" i="9"/>
  <c r="G9" i="9"/>
  <c r="G3" i="9"/>
  <c r="G21" i="9"/>
  <c r="G11" i="9"/>
  <c r="H13" i="9"/>
  <c r="H9" i="9"/>
  <c r="H3" i="9"/>
  <c r="H21" i="9"/>
  <c r="H11" i="9"/>
  <c r="I14" i="9"/>
  <c r="I13" i="9"/>
  <c r="I9" i="9"/>
  <c r="I10" i="9"/>
  <c r="I3" i="9"/>
  <c r="I21" i="9"/>
  <c r="I11" i="9"/>
  <c r="J14" i="9"/>
  <c r="J13" i="9"/>
  <c r="J9" i="9"/>
  <c r="J10" i="9"/>
  <c r="J3" i="9"/>
  <c r="J21" i="9"/>
  <c r="J11" i="9"/>
  <c r="K13" i="9"/>
  <c r="K9" i="9"/>
  <c r="K14" i="9"/>
  <c r="K10" i="9"/>
  <c r="K3" i="9"/>
  <c r="K21" i="9"/>
  <c r="K11" i="9"/>
  <c r="L14" i="9"/>
  <c r="L13" i="9"/>
  <c r="L10" i="9"/>
  <c r="L9" i="9"/>
  <c r="L3" i="9"/>
  <c r="L21" i="9"/>
  <c r="L11" i="9"/>
  <c r="M14" i="9"/>
  <c r="M13" i="9"/>
  <c r="M10" i="9"/>
  <c r="M9" i="9"/>
  <c r="M3" i="9"/>
  <c r="M21" i="9"/>
  <c r="M11" i="9"/>
  <c r="P3" i="9"/>
  <c r="P4" i="9"/>
  <c r="N13" i="9"/>
  <c r="N14" i="9"/>
  <c r="N10" i="9"/>
  <c r="N9" i="9"/>
  <c r="N3" i="9"/>
  <c r="N21" i="9"/>
  <c r="N11" i="9"/>
  <c r="O14" i="9"/>
  <c r="O13" i="9"/>
  <c r="O10" i="9"/>
  <c r="O9" i="9"/>
  <c r="O3" i="9"/>
  <c r="O4" i="9" s="1"/>
  <c r="O21" i="9"/>
  <c r="O11" i="9"/>
  <c r="P14" i="9"/>
  <c r="P13" i="9"/>
  <c r="P10" i="9"/>
  <c r="P9" i="9"/>
  <c r="P21" i="9"/>
  <c r="P11" i="9"/>
  <c r="DG21" i="9"/>
  <c r="DF21" i="9"/>
  <c r="DE21" i="9"/>
  <c r="DD21" i="9"/>
  <c r="DC21" i="9"/>
  <c r="DB21" i="9"/>
  <c r="DA21" i="9"/>
  <c r="CZ21" i="9"/>
  <c r="CY21" i="9"/>
  <c r="CX21" i="9"/>
  <c r="CW21" i="9"/>
  <c r="CV21" i="9"/>
  <c r="CU21" i="9"/>
  <c r="CT21" i="9"/>
  <c r="CS21" i="9"/>
  <c r="CR21" i="9"/>
  <c r="CQ21" i="9"/>
  <c r="CP21" i="9"/>
  <c r="CO21" i="9"/>
  <c r="CN21" i="9"/>
  <c r="CM21" i="9"/>
  <c r="CL21" i="9"/>
  <c r="CK21" i="9"/>
  <c r="CJ21" i="9"/>
  <c r="CI21" i="9"/>
  <c r="CH21" i="9"/>
  <c r="CG21" i="9"/>
  <c r="CF21" i="9"/>
  <c r="CE21" i="9"/>
  <c r="CD21" i="9"/>
  <c r="CC21" i="9"/>
  <c r="CB21" i="9"/>
  <c r="CA21" i="9"/>
  <c r="BZ21" i="9"/>
  <c r="BY21" i="9"/>
  <c r="BX21" i="9"/>
  <c r="BW21" i="9"/>
  <c r="BV21" i="9"/>
  <c r="BU21" i="9"/>
  <c r="BT21" i="9"/>
  <c r="BS21" i="9"/>
  <c r="BR21" i="9"/>
  <c r="BQ21" i="9"/>
  <c r="BP21" i="9"/>
  <c r="BO21" i="9"/>
  <c r="BN21" i="9"/>
  <c r="BM21" i="9"/>
  <c r="BL21" i="9"/>
  <c r="BK21" i="9"/>
  <c r="BJ21" i="9"/>
  <c r="BI21" i="9"/>
  <c r="BH21" i="9"/>
  <c r="BG21" i="9"/>
  <c r="BF21" i="9"/>
  <c r="BE21" i="9"/>
  <c r="BD21" i="9"/>
  <c r="BC21" i="9"/>
  <c r="BB21" i="9"/>
  <c r="BA21" i="9"/>
  <c r="AZ21" i="9"/>
  <c r="AY21" i="9"/>
  <c r="AX21" i="9"/>
  <c r="AW21" i="9"/>
  <c r="AV21" i="9"/>
  <c r="AU21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DG14" i="9"/>
  <c r="DF14" i="9"/>
  <c r="DE14" i="9"/>
  <c r="DD14" i="9"/>
  <c r="DC14" i="9"/>
  <c r="DB14" i="9"/>
  <c r="DA14" i="9"/>
  <c r="CZ14" i="9"/>
  <c r="CY14" i="9"/>
  <c r="CX14" i="9"/>
  <c r="CW14" i="9"/>
  <c r="CV14" i="9"/>
  <c r="CU14" i="9"/>
  <c r="CT14" i="9"/>
  <c r="CS14" i="9"/>
  <c r="CR14" i="9"/>
  <c r="CQ14" i="9"/>
  <c r="CP14" i="9"/>
  <c r="CO14" i="9"/>
  <c r="CN14" i="9"/>
  <c r="CM14" i="9"/>
  <c r="CL14" i="9"/>
  <c r="CK14" i="9"/>
  <c r="CJ14" i="9"/>
  <c r="CI14" i="9"/>
  <c r="CH14" i="9"/>
  <c r="CG14" i="9"/>
  <c r="CF14" i="9"/>
  <c r="CE14" i="9"/>
  <c r="CD14" i="9"/>
  <c r="CC14" i="9"/>
  <c r="CC15" i="9" s="1"/>
  <c r="CB14" i="9"/>
  <c r="CB15" i="9" s="1"/>
  <c r="CA14" i="9"/>
  <c r="CA15" i="9" s="1"/>
  <c r="BZ14" i="9"/>
  <c r="BZ15" i="9" s="1"/>
  <c r="BY14" i="9"/>
  <c r="BY15" i="9" s="1"/>
  <c r="BX14" i="9"/>
  <c r="BW14" i="9"/>
  <c r="BV14" i="9"/>
  <c r="BU14" i="9"/>
  <c r="BT14" i="9"/>
  <c r="BS14" i="9"/>
  <c r="BR14" i="9"/>
  <c r="BQ14" i="9"/>
  <c r="BP14" i="9"/>
  <c r="BO14" i="9"/>
  <c r="BN14" i="9"/>
  <c r="BM14" i="9"/>
  <c r="BL14" i="9"/>
  <c r="BL15" i="9" s="1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DG13" i="9"/>
  <c r="DF13" i="9"/>
  <c r="DE13" i="9"/>
  <c r="DD13" i="9"/>
  <c r="DC13" i="9"/>
  <c r="DB13" i="9"/>
  <c r="DA13" i="9"/>
  <c r="CZ13" i="9"/>
  <c r="CY13" i="9"/>
  <c r="CX13" i="9"/>
  <c r="CW13" i="9"/>
  <c r="CV13" i="9"/>
  <c r="CU13" i="9"/>
  <c r="CT13" i="9"/>
  <c r="CS13" i="9"/>
  <c r="CR13" i="9"/>
  <c r="CQ13" i="9"/>
  <c r="CP13" i="9"/>
  <c r="CO13" i="9"/>
  <c r="CN13" i="9"/>
  <c r="CM13" i="9"/>
  <c r="CL13" i="9"/>
  <c r="CK13" i="9"/>
  <c r="CJ13" i="9"/>
  <c r="CI13" i="9"/>
  <c r="CH13" i="9"/>
  <c r="CG13" i="9"/>
  <c r="CF13" i="9"/>
  <c r="CE13" i="9"/>
  <c r="CD13" i="9"/>
  <c r="BX13" i="9"/>
  <c r="BW13" i="9"/>
  <c r="BV13" i="9"/>
  <c r="BU13" i="9"/>
  <c r="BT13" i="9"/>
  <c r="BS13" i="9"/>
  <c r="BR13" i="9"/>
  <c r="BQ13" i="9"/>
  <c r="BP13" i="9"/>
  <c r="BO13" i="9"/>
  <c r="BN13" i="9"/>
  <c r="BM13" i="9"/>
  <c r="BK13" i="9"/>
  <c r="BJ13" i="9"/>
  <c r="BI13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AP13" i="9"/>
  <c r="AO13" i="9"/>
  <c r="AN13" i="9"/>
  <c r="AM13" i="9"/>
  <c r="AL13" i="9"/>
  <c r="AK13" i="9"/>
  <c r="AJ13" i="9"/>
  <c r="AI13" i="9"/>
  <c r="AH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CU10" i="9"/>
  <c r="CT10" i="9"/>
  <c r="CS10" i="9"/>
  <c r="CR10" i="9"/>
  <c r="CQ10" i="9"/>
  <c r="CP10" i="9"/>
  <c r="CO10" i="9"/>
  <c r="CN10" i="9"/>
  <c r="CM10" i="9"/>
  <c r="CL10" i="9"/>
  <c r="CK10" i="9"/>
  <c r="CJ10" i="9"/>
  <c r="CI10" i="9"/>
  <c r="CH10" i="9"/>
  <c r="CG10" i="9"/>
  <c r="CF10" i="9"/>
  <c r="CE10" i="9"/>
  <c r="CD10" i="9"/>
  <c r="CC10" i="9"/>
  <c r="CC11" i="9" s="1"/>
  <c r="CB10" i="9"/>
  <c r="CB11" i="9" s="1"/>
  <c r="CA10" i="9"/>
  <c r="CA11" i="9" s="1"/>
  <c r="BZ10" i="9"/>
  <c r="BZ11" i="9" s="1"/>
  <c r="BY10" i="9"/>
  <c r="BY11" i="9" s="1"/>
  <c r="BX10" i="9"/>
  <c r="BW10" i="9"/>
  <c r="BV10" i="9"/>
  <c r="BU10" i="9"/>
  <c r="BT10" i="9"/>
  <c r="BS10" i="9"/>
  <c r="BR10" i="9"/>
  <c r="BQ10" i="9"/>
  <c r="BP10" i="9"/>
  <c r="BO10" i="9"/>
  <c r="BN10" i="9"/>
  <c r="BM10" i="9"/>
  <c r="BL10" i="9"/>
  <c r="BK10" i="9"/>
  <c r="BJ10" i="9"/>
  <c r="BI10" i="9"/>
  <c r="BH10" i="9"/>
  <c r="BG10" i="9"/>
  <c r="BF10" i="9"/>
  <c r="BE10" i="9"/>
  <c r="BD10" i="9"/>
  <c r="BC10" i="9"/>
  <c r="BB10" i="9"/>
  <c r="BA10" i="9"/>
  <c r="AZ10" i="9"/>
  <c r="AY10" i="9"/>
  <c r="AX10" i="9"/>
  <c r="AW10" i="9"/>
  <c r="AV10" i="9"/>
  <c r="AU10" i="9"/>
  <c r="AT10" i="9"/>
  <c r="AS10" i="9"/>
  <c r="AR10" i="9"/>
  <c r="AQ10" i="9"/>
  <c r="AP10" i="9"/>
  <c r="AO10" i="9"/>
  <c r="AN10" i="9"/>
  <c r="AM10" i="9"/>
  <c r="AL10" i="9"/>
  <c r="AK10" i="9"/>
  <c r="AJ10" i="9"/>
  <c r="AI10" i="9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CU9" i="9"/>
  <c r="CU11" i="9" s="1"/>
  <c r="CT9" i="9"/>
  <c r="CT11" i="9" s="1"/>
  <c r="CS9" i="9"/>
  <c r="CS11" i="9" s="1"/>
  <c r="CR9" i="9"/>
  <c r="CR11" i="9" s="1"/>
  <c r="CQ9" i="9"/>
  <c r="CQ11" i="9" s="1"/>
  <c r="CP9" i="9"/>
  <c r="CP11" i="9" s="1"/>
  <c r="CO9" i="9"/>
  <c r="CO11" i="9" s="1"/>
  <c r="CN9" i="9"/>
  <c r="CN11" i="9" s="1"/>
  <c r="CM9" i="9"/>
  <c r="CM11" i="9" s="1"/>
  <c r="CL9" i="9"/>
  <c r="CL11" i="9" s="1"/>
  <c r="CK9" i="9"/>
  <c r="CK11" i="9" s="1"/>
  <c r="CJ9" i="9"/>
  <c r="CJ11" i="9" s="1"/>
  <c r="CI9" i="9"/>
  <c r="CI11" i="9" s="1"/>
  <c r="CH9" i="9"/>
  <c r="CH11" i="9" s="1"/>
  <c r="CG9" i="9"/>
  <c r="CG11" i="9" s="1"/>
  <c r="CF9" i="9"/>
  <c r="CF11" i="9" s="1"/>
  <c r="CE9" i="9"/>
  <c r="CE11" i="9" s="1"/>
  <c r="CD9" i="9"/>
  <c r="CD11" i="9" s="1"/>
  <c r="BX9" i="9"/>
  <c r="BX11" i="9" s="1"/>
  <c r="BW9" i="9"/>
  <c r="BW11" i="9" s="1"/>
  <c r="BV9" i="9"/>
  <c r="BV11" i="9" s="1"/>
  <c r="BU9" i="9"/>
  <c r="BU11" i="9" s="1"/>
  <c r="BT9" i="9"/>
  <c r="BT11" i="9" s="1"/>
  <c r="BS9" i="9"/>
  <c r="BS11" i="9" s="1"/>
  <c r="BR9" i="9"/>
  <c r="BR11" i="9" s="1"/>
  <c r="BQ9" i="9"/>
  <c r="BQ11" i="9" s="1"/>
  <c r="BP9" i="9"/>
  <c r="BP11" i="9" s="1"/>
  <c r="BO9" i="9"/>
  <c r="BO11" i="9" s="1"/>
  <c r="BN9" i="9"/>
  <c r="BN11" i="9" s="1"/>
  <c r="BM9" i="9"/>
  <c r="BM11" i="9" s="1"/>
  <c r="BL9" i="9"/>
  <c r="BL11" i="9" s="1"/>
  <c r="BK9" i="9"/>
  <c r="BK11" i="9" s="1"/>
  <c r="BJ9" i="9"/>
  <c r="BJ11" i="9" s="1"/>
  <c r="BI9" i="9"/>
  <c r="BI11" i="9" s="1"/>
  <c r="BH9" i="9"/>
  <c r="BH11" i="9" s="1"/>
  <c r="BG9" i="9"/>
  <c r="BG11" i="9" s="1"/>
  <c r="BF9" i="9"/>
  <c r="BF11" i="9" s="1"/>
  <c r="BE9" i="9"/>
  <c r="BE11" i="9" s="1"/>
  <c r="BD9" i="9"/>
  <c r="BD11" i="9" s="1"/>
  <c r="BC9" i="9"/>
  <c r="BC11" i="9" s="1"/>
  <c r="BB9" i="9"/>
  <c r="BB11" i="9" s="1"/>
  <c r="BA9" i="9"/>
  <c r="BA11" i="9" s="1"/>
  <c r="AZ9" i="9"/>
  <c r="AZ11" i="9" s="1"/>
  <c r="AY9" i="9"/>
  <c r="AY11" i="9" s="1"/>
  <c r="AX9" i="9"/>
  <c r="AX11" i="9" s="1"/>
  <c r="AW9" i="9"/>
  <c r="AW11" i="9" s="1"/>
  <c r="AV9" i="9"/>
  <c r="AV11" i="9" s="1"/>
  <c r="AU9" i="9"/>
  <c r="AU11" i="9" s="1"/>
  <c r="AT9" i="9"/>
  <c r="AT11" i="9" s="1"/>
  <c r="AS9" i="9"/>
  <c r="AS11" i="9" s="1"/>
  <c r="AR9" i="9"/>
  <c r="AR11" i="9" s="1"/>
  <c r="AQ9" i="9"/>
  <c r="AQ11" i="9" s="1"/>
  <c r="AP9" i="9"/>
  <c r="AP11" i="9" s="1"/>
  <c r="AO9" i="9"/>
  <c r="AO11" i="9" s="1"/>
  <c r="AN9" i="9"/>
  <c r="AN11" i="9" s="1"/>
  <c r="AM9" i="9"/>
  <c r="AM11" i="9" s="1"/>
  <c r="AL9" i="9"/>
  <c r="AL11" i="9" s="1"/>
  <c r="AK9" i="9"/>
  <c r="AK11" i="9" s="1"/>
  <c r="AJ9" i="9"/>
  <c r="AJ11" i="9" s="1"/>
  <c r="AI9" i="9"/>
  <c r="AI11" i="9" s="1"/>
  <c r="AH9" i="9"/>
  <c r="AH11" i="9" s="1"/>
  <c r="AG9" i="9"/>
  <c r="AG11" i="9" s="1"/>
  <c r="AF9" i="9"/>
  <c r="AF11" i="9" s="1"/>
  <c r="AE9" i="9"/>
  <c r="AE11" i="9" s="1"/>
  <c r="AD9" i="9"/>
  <c r="AD11" i="9" s="1"/>
  <c r="AC9" i="9"/>
  <c r="AC11" i="9" s="1"/>
  <c r="AB9" i="9"/>
  <c r="AB11" i="9" s="1"/>
  <c r="AA9" i="9"/>
  <c r="AA11" i="9" s="1"/>
  <c r="Z9" i="9"/>
  <c r="Z11" i="9" s="1"/>
  <c r="Y9" i="9"/>
  <c r="Y11" i="9" s="1"/>
  <c r="X9" i="9"/>
  <c r="X11" i="9" s="1"/>
  <c r="W9" i="9"/>
  <c r="W11" i="9" s="1"/>
  <c r="V9" i="9"/>
  <c r="V11" i="9" s="1"/>
  <c r="U9" i="9"/>
  <c r="U11" i="9" s="1"/>
  <c r="T9" i="9"/>
  <c r="T11" i="9" s="1"/>
  <c r="S9" i="9"/>
  <c r="S11" i="9" s="1"/>
  <c r="R9" i="9"/>
  <c r="R11" i="9" s="1"/>
  <c r="Q9" i="9"/>
  <c r="Q11" i="9" s="1"/>
  <c r="DG4" i="9"/>
  <c r="DG6" i="9" s="1"/>
  <c r="DG7" i="9" s="1"/>
  <c r="DF4" i="9"/>
  <c r="DF6" i="9" s="1"/>
  <c r="DF7" i="9" s="1"/>
  <c r="DE4" i="9"/>
  <c r="DE6" i="9" s="1"/>
  <c r="DE7" i="9" s="1"/>
  <c r="DD4" i="9"/>
  <c r="DD6" i="9" s="1"/>
  <c r="DD7" i="9" s="1"/>
  <c r="DC4" i="9"/>
  <c r="DC6" i="9" s="1"/>
  <c r="DC7" i="9" s="1"/>
  <c r="DB4" i="9"/>
  <c r="DB6" i="9" s="1"/>
  <c r="DB7" i="9" s="1"/>
  <c r="DA4" i="9"/>
  <c r="DA6" i="9" s="1"/>
  <c r="DA7" i="9" s="1"/>
  <c r="CZ4" i="9"/>
  <c r="CZ6" i="9" s="1"/>
  <c r="CZ7" i="9" s="1"/>
  <c r="CY4" i="9"/>
  <c r="CY6" i="9" s="1"/>
  <c r="CY7" i="9" s="1"/>
  <c r="CX4" i="9"/>
  <c r="CX6" i="9" s="1"/>
  <c r="CX7" i="9" s="1"/>
  <c r="CW4" i="9"/>
  <c r="CW6" i="9" s="1"/>
  <c r="CW7" i="9" s="1"/>
  <c r="CV4" i="9"/>
  <c r="CV6" i="9" s="1"/>
  <c r="CV7" i="9" s="1"/>
  <c r="CU4" i="9"/>
  <c r="CU6" i="9" s="1"/>
  <c r="CU7" i="9" s="1"/>
  <c r="CT4" i="9"/>
  <c r="CT6" i="9" s="1"/>
  <c r="CT7" i="9" s="1"/>
  <c r="CS4" i="9"/>
  <c r="CS6" i="9" s="1"/>
  <c r="CS7" i="9" s="1"/>
  <c r="CR4" i="9"/>
  <c r="CR6" i="9" s="1"/>
  <c r="CR7" i="9" s="1"/>
  <c r="CQ4" i="9"/>
  <c r="CQ6" i="9" s="1"/>
  <c r="CQ7" i="9" s="1"/>
  <c r="CP4" i="9"/>
  <c r="CP6" i="9" s="1"/>
  <c r="CP7" i="9" s="1"/>
  <c r="CO4" i="9"/>
  <c r="CO6" i="9" s="1"/>
  <c r="CO7" i="9" s="1"/>
  <c r="CN4" i="9"/>
  <c r="CN6" i="9" s="1"/>
  <c r="CN7" i="9" s="1"/>
  <c r="CJ4" i="9"/>
  <c r="CJ6" i="9" s="1"/>
  <c r="CJ7" i="9" s="1"/>
  <c r="BX4" i="9"/>
  <c r="BX6" i="9" s="1"/>
  <c r="BX7" i="9" s="1"/>
  <c r="BW4" i="9"/>
  <c r="BW6" i="9" s="1"/>
  <c r="BW7" i="9" s="1"/>
  <c r="BV4" i="9"/>
  <c r="BV6" i="9" s="1"/>
  <c r="BV7" i="9" s="1"/>
  <c r="BU4" i="9"/>
  <c r="BU6" i="9" s="1"/>
  <c r="BU7" i="9" s="1"/>
  <c r="BT4" i="9"/>
  <c r="BT6" i="9" s="1"/>
  <c r="BT7" i="9" s="1"/>
  <c r="BS4" i="9"/>
  <c r="BS6" i="9" s="1"/>
  <c r="BS7" i="9" s="1"/>
  <c r="BR4" i="9"/>
  <c r="BR6" i="9" s="1"/>
  <c r="BR7" i="9" s="1"/>
  <c r="BQ4" i="9"/>
  <c r="BQ6" i="9" s="1"/>
  <c r="BQ7" i="9" s="1"/>
  <c r="BP4" i="9"/>
  <c r="BP6" i="9" s="1"/>
  <c r="BP7" i="9" s="1"/>
  <c r="BO4" i="9"/>
  <c r="BO6" i="9" s="1"/>
  <c r="BO7" i="9" s="1"/>
  <c r="BN4" i="9"/>
  <c r="BN6" i="9" s="1"/>
  <c r="BN7" i="9" s="1"/>
  <c r="BM4" i="9"/>
  <c r="BM6" i="9" s="1"/>
  <c r="BM7" i="9" s="1"/>
  <c r="BL4" i="9"/>
  <c r="BL6" i="9" s="1"/>
  <c r="BL7" i="9" s="1"/>
  <c r="BK4" i="9"/>
  <c r="BK6" i="9" s="1"/>
  <c r="BK7" i="9" s="1"/>
  <c r="BJ4" i="9"/>
  <c r="BJ6" i="9" s="1"/>
  <c r="BJ7" i="9" s="1"/>
  <c r="BI4" i="9"/>
  <c r="BI6" i="9" s="1"/>
  <c r="BI7" i="9" s="1"/>
  <c r="BH4" i="9"/>
  <c r="BH6" i="9" s="1"/>
  <c r="BH7" i="9" s="1"/>
  <c r="BG4" i="9"/>
  <c r="BG6" i="9" s="1"/>
  <c r="BG7" i="9" s="1"/>
  <c r="BF4" i="9"/>
  <c r="BF6" i="9" s="1"/>
  <c r="BF7" i="9" s="1"/>
  <c r="BE4" i="9"/>
  <c r="BE6" i="9" s="1"/>
  <c r="BE7" i="9" s="1"/>
  <c r="BD4" i="9"/>
  <c r="BD6" i="9" s="1"/>
  <c r="BD7" i="9" s="1"/>
  <c r="BC4" i="9"/>
  <c r="BC6" i="9" s="1"/>
  <c r="BC7" i="9" s="1"/>
  <c r="BB4" i="9"/>
  <c r="BB6" i="9" s="1"/>
  <c r="BB7" i="9" s="1"/>
  <c r="BA4" i="9"/>
  <c r="BA6" i="9" s="1"/>
  <c r="BA7" i="9" s="1"/>
  <c r="AZ4" i="9"/>
  <c r="AZ6" i="9" s="1"/>
  <c r="AZ7" i="9" s="1"/>
  <c r="AY4" i="9"/>
  <c r="AY6" i="9" s="1"/>
  <c r="AY7" i="9" s="1"/>
  <c r="AX4" i="9"/>
  <c r="AX6" i="9" s="1"/>
  <c r="AX7" i="9" s="1"/>
  <c r="AW4" i="9"/>
  <c r="AW6" i="9" s="1"/>
  <c r="AW7" i="9" s="1"/>
  <c r="AV4" i="9"/>
  <c r="AV6" i="9" s="1"/>
  <c r="AV7" i="9" s="1"/>
  <c r="AU4" i="9"/>
  <c r="AU6" i="9" s="1"/>
  <c r="AU7" i="9" s="1"/>
  <c r="AT4" i="9"/>
  <c r="AT6" i="9" s="1"/>
  <c r="AT7" i="9" s="1"/>
  <c r="CM3" i="9"/>
  <c r="CM4" i="9" s="1"/>
  <c r="CM6" i="9" s="1"/>
  <c r="CM7" i="9" s="1"/>
  <c r="CL3" i="9"/>
  <c r="CI3" i="9"/>
  <c r="CB3" i="9"/>
  <c r="AS3" i="9"/>
  <c r="AS4" i="9" s="1"/>
  <c r="AS6" i="9" s="1"/>
  <c r="AS7" i="9" s="1"/>
  <c r="AR3" i="9"/>
  <c r="AR4" i="9" s="1"/>
  <c r="AR6" i="9" s="1"/>
  <c r="AR7" i="9" s="1"/>
  <c r="AQ3" i="9"/>
  <c r="AQ4" i="9" s="1"/>
  <c r="AQ6" i="9" s="1"/>
  <c r="AQ7" i="9" s="1"/>
  <c r="AP3" i="9"/>
  <c r="AP4" i="9" s="1"/>
  <c r="AP6" i="9" s="1"/>
  <c r="AP7" i="9" s="1"/>
  <c r="AO3" i="9"/>
  <c r="AO4" i="9" s="1"/>
  <c r="AO6" i="9" s="1"/>
  <c r="AO7" i="9" s="1"/>
  <c r="AN3" i="9"/>
  <c r="AN4" i="9" s="1"/>
  <c r="AN6" i="9" s="1"/>
  <c r="AN7" i="9" s="1"/>
  <c r="AM3" i="9"/>
  <c r="AM4" i="9" s="1"/>
  <c r="AM6" i="9" s="1"/>
  <c r="AM7" i="9" s="1"/>
  <c r="AL3" i="9"/>
  <c r="AL4" i="9" s="1"/>
  <c r="AL6" i="9" s="1"/>
  <c r="AL7" i="9" s="1"/>
  <c r="AK3" i="9"/>
  <c r="AK4" i="9" s="1"/>
  <c r="AK6" i="9" s="1"/>
  <c r="AK7" i="9" s="1"/>
  <c r="AJ3" i="9"/>
  <c r="AJ4" i="9" s="1"/>
  <c r="AJ6" i="9" s="1"/>
  <c r="AJ7" i="9" s="1"/>
  <c r="AI3" i="9"/>
  <c r="AI4" i="9" s="1"/>
  <c r="AI6" i="9" s="1"/>
  <c r="AI7" i="9" s="1"/>
  <c r="AH3" i="9"/>
  <c r="AH4" i="9" s="1"/>
  <c r="AH6" i="9" s="1"/>
  <c r="AH7" i="9" s="1"/>
  <c r="AG3" i="9"/>
  <c r="AG4" i="9" s="1"/>
  <c r="AG6" i="9" s="1"/>
  <c r="AG7" i="9" s="1"/>
  <c r="AF3" i="9"/>
  <c r="AF4" i="9" s="1"/>
  <c r="AF6" i="9" s="1"/>
  <c r="AF7" i="9" s="1"/>
  <c r="AE3" i="9"/>
  <c r="AE4" i="9" s="1"/>
  <c r="AE6" i="9" s="1"/>
  <c r="AE7" i="9" s="1"/>
  <c r="AD3" i="9"/>
  <c r="AD4" i="9" s="1"/>
  <c r="AD6" i="9" s="1"/>
  <c r="AD7" i="9" s="1"/>
  <c r="AC3" i="9"/>
  <c r="AC4" i="9" s="1"/>
  <c r="AC6" i="9" s="1"/>
  <c r="AC7" i="9" s="1"/>
  <c r="AB3" i="9"/>
  <c r="AB4" i="9" s="1"/>
  <c r="AB6" i="9" s="1"/>
  <c r="AB7" i="9" s="1"/>
  <c r="AA3" i="9"/>
  <c r="AA4" i="9" s="1"/>
  <c r="AA6" i="9" s="1"/>
  <c r="AA7" i="9" s="1"/>
  <c r="Z3" i="9"/>
  <c r="Z4" i="9" s="1"/>
  <c r="Z6" i="9" s="1"/>
  <c r="Z7" i="9" s="1"/>
  <c r="Y3" i="9"/>
  <c r="Y4" i="9" s="1"/>
  <c r="Y6" i="9" s="1"/>
  <c r="Y7" i="9" s="1"/>
  <c r="X3" i="9"/>
  <c r="X4" i="9" s="1"/>
  <c r="X6" i="9" s="1"/>
  <c r="X7" i="9" s="1"/>
  <c r="W3" i="9"/>
  <c r="W4" i="9" s="1"/>
  <c r="W6" i="9" s="1"/>
  <c r="W7" i="9" s="1"/>
  <c r="V3" i="9"/>
  <c r="V4" i="9" s="1"/>
  <c r="V6" i="9" s="1"/>
  <c r="V7" i="9" s="1"/>
  <c r="U3" i="9"/>
  <c r="U4" i="9" s="1"/>
  <c r="U6" i="9" s="1"/>
  <c r="U7" i="9" s="1"/>
  <c r="T3" i="9"/>
  <c r="T4" i="9" s="1"/>
  <c r="T6" i="9" s="1"/>
  <c r="T7" i="9" s="1"/>
  <c r="S3" i="9"/>
  <c r="S4" i="9" s="1"/>
  <c r="S6" i="9" s="1"/>
  <c r="S7" i="9" s="1"/>
  <c r="R3" i="9"/>
  <c r="R4" i="9" s="1"/>
  <c r="R6" i="9" s="1"/>
  <c r="R7" i="9" s="1"/>
  <c r="Q3" i="9"/>
  <c r="Q4" i="9" s="1"/>
  <c r="Q6" i="9" s="1"/>
  <c r="Q7" i="9" s="1"/>
  <c r="E4" i="8"/>
  <c r="E10" i="8"/>
  <c r="E14" i="8"/>
  <c r="E13" i="8"/>
  <c r="E9" i="8"/>
  <c r="E3" i="8"/>
  <c r="E21" i="8"/>
  <c r="E11" i="8"/>
  <c r="F14" i="8"/>
  <c r="F13" i="8"/>
  <c r="F10" i="8"/>
  <c r="F9" i="8"/>
  <c r="F3" i="8"/>
  <c r="F21" i="8"/>
  <c r="F11" i="8"/>
  <c r="G14" i="8"/>
  <c r="G13" i="8"/>
  <c r="G10" i="8"/>
  <c r="G9" i="8"/>
  <c r="G3" i="8"/>
  <c r="G21" i="8"/>
  <c r="G11" i="8"/>
  <c r="H14" i="8"/>
  <c r="H13" i="8"/>
  <c r="H10" i="8"/>
  <c r="H9" i="8"/>
  <c r="H3" i="8"/>
  <c r="H21" i="8"/>
  <c r="H11" i="8"/>
  <c r="I13" i="8"/>
  <c r="I14" i="8"/>
  <c r="I10" i="8"/>
  <c r="I9" i="8"/>
  <c r="I3" i="8"/>
  <c r="I21" i="8"/>
  <c r="I11" i="8"/>
  <c r="J13" i="8"/>
  <c r="J14" i="8"/>
  <c r="J10" i="8"/>
  <c r="J9" i="8"/>
  <c r="J3" i="8"/>
  <c r="J21" i="8"/>
  <c r="J11" i="8"/>
  <c r="K14" i="8"/>
  <c r="K13" i="8"/>
  <c r="K10" i="8"/>
  <c r="K9" i="8"/>
  <c r="K3" i="8"/>
  <c r="K21" i="8"/>
  <c r="K11" i="8"/>
  <c r="L13" i="8"/>
  <c r="L14" i="8"/>
  <c r="L10" i="8"/>
  <c r="L9" i="8"/>
  <c r="L3" i="8"/>
  <c r="L21" i="8"/>
  <c r="L11" i="8"/>
  <c r="M14" i="8"/>
  <c r="M13" i="8"/>
  <c r="M10" i="8"/>
  <c r="M9" i="8"/>
  <c r="M3" i="8"/>
  <c r="M21" i="8"/>
  <c r="M11" i="8"/>
  <c r="N13" i="8"/>
  <c r="N14" i="8"/>
  <c r="N10" i="8"/>
  <c r="N9" i="8"/>
  <c r="N3" i="8"/>
  <c r="N21" i="8"/>
  <c r="N11" i="8"/>
  <c r="O14" i="8"/>
  <c r="O13" i="8"/>
  <c r="O9" i="8"/>
  <c r="O10" i="8"/>
  <c r="O3" i="8"/>
  <c r="O21" i="8"/>
  <c r="O11" i="8"/>
  <c r="P14" i="8"/>
  <c r="P13" i="8"/>
  <c r="P9" i="8"/>
  <c r="P10" i="8"/>
  <c r="P3" i="8"/>
  <c r="P21" i="8"/>
  <c r="P11" i="8"/>
  <c r="AC3" i="8"/>
  <c r="AD3" i="8"/>
  <c r="AE3" i="8"/>
  <c r="AC9" i="8"/>
  <c r="AD9" i="8"/>
  <c r="AE9" i="8"/>
  <c r="AC10" i="8"/>
  <c r="AD10" i="8"/>
  <c r="AE10" i="8"/>
  <c r="AC11" i="8"/>
  <c r="AD11" i="8"/>
  <c r="AE11" i="8"/>
  <c r="AC13" i="8"/>
  <c r="AD13" i="8"/>
  <c r="AE13" i="8"/>
  <c r="AC14" i="8"/>
  <c r="AD14" i="8"/>
  <c r="AE14" i="8"/>
  <c r="AC15" i="8"/>
  <c r="AD15" i="8"/>
  <c r="AE15" i="8"/>
  <c r="AC21" i="8"/>
  <c r="AD21" i="8"/>
  <c r="AE21" i="8"/>
  <c r="AF3" i="8"/>
  <c r="AG3" i="8"/>
  <c r="BP3" i="8"/>
  <c r="BW3" i="8"/>
  <c r="BZ3" i="8"/>
  <c r="CA3" i="8"/>
  <c r="AF4" i="8"/>
  <c r="AG4" i="8"/>
  <c r="AH4" i="8"/>
  <c r="AI4" i="8"/>
  <c r="AJ4" i="8"/>
  <c r="AK4" i="8"/>
  <c r="AL4" i="8"/>
  <c r="AM4" i="8"/>
  <c r="AN4" i="8"/>
  <c r="AO4" i="8"/>
  <c r="AP4" i="8"/>
  <c r="AQ4" i="8"/>
  <c r="AR4" i="8"/>
  <c r="AS4" i="8"/>
  <c r="AT4" i="8"/>
  <c r="AU4" i="8"/>
  <c r="AV4" i="8"/>
  <c r="AW4" i="8"/>
  <c r="AX4" i="8"/>
  <c r="AY4" i="8"/>
  <c r="AZ4" i="8"/>
  <c r="BA4" i="8"/>
  <c r="BB4" i="8"/>
  <c r="BC4" i="8"/>
  <c r="BD4" i="8"/>
  <c r="BE4" i="8"/>
  <c r="BF4" i="8"/>
  <c r="BG4" i="8"/>
  <c r="BH4" i="8"/>
  <c r="BI4" i="8"/>
  <c r="BJ4" i="8"/>
  <c r="BK4" i="8"/>
  <c r="BL4" i="8"/>
  <c r="BM4" i="8"/>
  <c r="BN4" i="8"/>
  <c r="BO4" i="8"/>
  <c r="BP4" i="8"/>
  <c r="BQ4" i="8"/>
  <c r="BR4" i="8"/>
  <c r="BS4" i="8"/>
  <c r="BT4" i="8"/>
  <c r="BU4" i="8"/>
  <c r="BV4" i="8"/>
  <c r="BW4" i="8"/>
  <c r="BX4" i="8"/>
  <c r="BY4" i="8"/>
  <c r="BZ4" i="8"/>
  <c r="CA4" i="8"/>
  <c r="CB4" i="8"/>
  <c r="CC4" i="8"/>
  <c r="CD4" i="8"/>
  <c r="CE4" i="8"/>
  <c r="CF4" i="8"/>
  <c r="CG4" i="8"/>
  <c r="CH4" i="8"/>
  <c r="CI4" i="8"/>
  <c r="CJ4" i="8"/>
  <c r="CK4" i="8"/>
  <c r="CL4" i="8"/>
  <c r="CM4" i="8"/>
  <c r="CN4" i="8"/>
  <c r="CO4" i="8"/>
  <c r="CP4" i="8"/>
  <c r="CQ4" i="8"/>
  <c r="CR4" i="8"/>
  <c r="CS4" i="8"/>
  <c r="CT4" i="8"/>
  <c r="CU4" i="8"/>
  <c r="AF6" i="8"/>
  <c r="AG6" i="8"/>
  <c r="AH6" i="8"/>
  <c r="AI6" i="8"/>
  <c r="AJ6" i="8"/>
  <c r="AK6" i="8"/>
  <c r="AL6" i="8"/>
  <c r="AM6" i="8"/>
  <c r="AN6" i="8"/>
  <c r="AO6" i="8"/>
  <c r="AP6" i="8"/>
  <c r="AQ6" i="8"/>
  <c r="AR6" i="8"/>
  <c r="AS6" i="8"/>
  <c r="AT6" i="8"/>
  <c r="AU6" i="8"/>
  <c r="AV6" i="8"/>
  <c r="AW6" i="8"/>
  <c r="AX6" i="8"/>
  <c r="AY6" i="8"/>
  <c r="AZ6" i="8"/>
  <c r="BA6" i="8"/>
  <c r="BB6" i="8"/>
  <c r="BC6" i="8"/>
  <c r="BD6" i="8"/>
  <c r="BE6" i="8"/>
  <c r="BF6" i="8"/>
  <c r="BG6" i="8"/>
  <c r="BH6" i="8"/>
  <c r="BI6" i="8"/>
  <c r="BJ6" i="8"/>
  <c r="BK6" i="8"/>
  <c r="BL6" i="8"/>
  <c r="BM6" i="8"/>
  <c r="BN6" i="8"/>
  <c r="BO6" i="8"/>
  <c r="BP6" i="8"/>
  <c r="BQ6" i="8"/>
  <c r="BR6" i="8"/>
  <c r="BS6" i="8"/>
  <c r="BT6" i="8"/>
  <c r="BU6" i="8"/>
  <c r="BV6" i="8"/>
  <c r="BW6" i="8"/>
  <c r="BX6" i="8"/>
  <c r="BY6" i="8"/>
  <c r="BZ6" i="8"/>
  <c r="CA6" i="8"/>
  <c r="CB6" i="8"/>
  <c r="CC6" i="8"/>
  <c r="CD6" i="8"/>
  <c r="CE6" i="8"/>
  <c r="CF6" i="8"/>
  <c r="CG6" i="8"/>
  <c r="CH6" i="8"/>
  <c r="CI6" i="8"/>
  <c r="CJ6" i="8"/>
  <c r="CK6" i="8"/>
  <c r="CL6" i="8"/>
  <c r="CM6" i="8"/>
  <c r="CN6" i="8"/>
  <c r="CO6" i="8"/>
  <c r="CP6" i="8"/>
  <c r="CQ6" i="8"/>
  <c r="CR6" i="8"/>
  <c r="CS6" i="8"/>
  <c r="CT6" i="8"/>
  <c r="CU6" i="8"/>
  <c r="AF7" i="8"/>
  <c r="AG7" i="8"/>
  <c r="AH7" i="8"/>
  <c r="AI7" i="8"/>
  <c r="AJ7" i="8"/>
  <c r="AK7" i="8"/>
  <c r="AL7" i="8"/>
  <c r="AM7" i="8"/>
  <c r="AN7" i="8"/>
  <c r="AO7" i="8"/>
  <c r="AP7" i="8"/>
  <c r="AQ7" i="8"/>
  <c r="AR7" i="8"/>
  <c r="AS7" i="8"/>
  <c r="AT7" i="8"/>
  <c r="AU7" i="8"/>
  <c r="AV7" i="8"/>
  <c r="AW7" i="8"/>
  <c r="AX7" i="8"/>
  <c r="AY7" i="8"/>
  <c r="AZ7" i="8"/>
  <c r="BA7" i="8"/>
  <c r="BB7" i="8"/>
  <c r="BC7" i="8"/>
  <c r="BD7" i="8"/>
  <c r="BE7" i="8"/>
  <c r="BF7" i="8"/>
  <c r="BG7" i="8"/>
  <c r="BH7" i="8"/>
  <c r="BI7" i="8"/>
  <c r="BJ7" i="8"/>
  <c r="BK7" i="8"/>
  <c r="BL7" i="8"/>
  <c r="BM7" i="8"/>
  <c r="BN7" i="8"/>
  <c r="BO7" i="8"/>
  <c r="BP7" i="8"/>
  <c r="BQ7" i="8"/>
  <c r="BR7" i="8"/>
  <c r="BS7" i="8"/>
  <c r="BT7" i="8"/>
  <c r="BU7" i="8"/>
  <c r="BV7" i="8"/>
  <c r="BW7" i="8"/>
  <c r="BX7" i="8"/>
  <c r="BY7" i="8"/>
  <c r="BZ7" i="8"/>
  <c r="CA7" i="8"/>
  <c r="CB7" i="8"/>
  <c r="CC7" i="8"/>
  <c r="CD7" i="8"/>
  <c r="CE7" i="8"/>
  <c r="CF7" i="8"/>
  <c r="CG7" i="8"/>
  <c r="CH7" i="8"/>
  <c r="CI7" i="8"/>
  <c r="CJ7" i="8"/>
  <c r="CK7" i="8"/>
  <c r="CL7" i="8"/>
  <c r="CM7" i="8"/>
  <c r="CN7" i="8"/>
  <c r="CO7" i="8"/>
  <c r="CP7" i="8"/>
  <c r="CQ7" i="8"/>
  <c r="CR7" i="8"/>
  <c r="CS7" i="8"/>
  <c r="CT7" i="8"/>
  <c r="CU7" i="8"/>
  <c r="AF9" i="8"/>
  <c r="AG9" i="8"/>
  <c r="AH9" i="8"/>
  <c r="AI9" i="8"/>
  <c r="AJ9" i="8"/>
  <c r="AK9" i="8"/>
  <c r="AL9" i="8"/>
  <c r="AM9" i="8"/>
  <c r="AN9" i="8"/>
  <c r="AO9" i="8"/>
  <c r="AP9" i="8"/>
  <c r="AQ9" i="8"/>
  <c r="AR9" i="8"/>
  <c r="AS9" i="8"/>
  <c r="AT9" i="8"/>
  <c r="AU9" i="8"/>
  <c r="AV9" i="8"/>
  <c r="AW9" i="8"/>
  <c r="AX9" i="8"/>
  <c r="AY9" i="8"/>
  <c r="AZ9" i="8"/>
  <c r="BA9" i="8"/>
  <c r="BB9" i="8"/>
  <c r="BC9" i="8"/>
  <c r="BD9" i="8"/>
  <c r="BE9" i="8"/>
  <c r="BF9" i="8"/>
  <c r="BG9" i="8"/>
  <c r="BH9" i="8"/>
  <c r="BI9" i="8"/>
  <c r="BJ9" i="8"/>
  <c r="BK9" i="8"/>
  <c r="BL9" i="8"/>
  <c r="BR9" i="8"/>
  <c r="BS9" i="8"/>
  <c r="BT9" i="8"/>
  <c r="BU9" i="8"/>
  <c r="BV9" i="8"/>
  <c r="BW9" i="8"/>
  <c r="BX9" i="8"/>
  <c r="BY9" i="8"/>
  <c r="BZ9" i="8"/>
  <c r="CA9" i="8"/>
  <c r="CB9" i="8"/>
  <c r="CC9" i="8"/>
  <c r="CD9" i="8"/>
  <c r="CE9" i="8"/>
  <c r="CF9" i="8"/>
  <c r="CG9" i="8"/>
  <c r="CH9" i="8"/>
  <c r="CI9" i="8"/>
  <c r="AF10" i="8"/>
  <c r="AG10" i="8"/>
  <c r="AH10" i="8"/>
  <c r="AI10" i="8"/>
  <c r="AJ10" i="8"/>
  <c r="AK10" i="8"/>
  <c r="AL10" i="8"/>
  <c r="AM10" i="8"/>
  <c r="AN10" i="8"/>
  <c r="AO10" i="8"/>
  <c r="AP10" i="8"/>
  <c r="AQ10" i="8"/>
  <c r="AR10" i="8"/>
  <c r="AS10" i="8"/>
  <c r="AT10" i="8"/>
  <c r="AU10" i="8"/>
  <c r="AV10" i="8"/>
  <c r="AW10" i="8"/>
  <c r="AX10" i="8"/>
  <c r="AY10" i="8"/>
  <c r="AZ10" i="8"/>
  <c r="BA10" i="8"/>
  <c r="BB10" i="8"/>
  <c r="BC10" i="8"/>
  <c r="BD10" i="8"/>
  <c r="BE10" i="8"/>
  <c r="BF10" i="8"/>
  <c r="BG10" i="8"/>
  <c r="BH10" i="8"/>
  <c r="BI10" i="8"/>
  <c r="BJ10" i="8"/>
  <c r="BK10" i="8"/>
  <c r="BL10" i="8"/>
  <c r="BM10" i="8"/>
  <c r="BN10" i="8"/>
  <c r="BO10" i="8"/>
  <c r="BP10" i="8"/>
  <c r="BQ10" i="8"/>
  <c r="BR10" i="8"/>
  <c r="BS10" i="8"/>
  <c r="BT10" i="8"/>
  <c r="BU10" i="8"/>
  <c r="BV10" i="8"/>
  <c r="BW10" i="8"/>
  <c r="BX10" i="8"/>
  <c r="BY10" i="8"/>
  <c r="BZ10" i="8"/>
  <c r="CA10" i="8"/>
  <c r="CB10" i="8"/>
  <c r="CC10" i="8"/>
  <c r="CD10" i="8"/>
  <c r="CE10" i="8"/>
  <c r="CF10" i="8"/>
  <c r="CG10" i="8"/>
  <c r="CH10" i="8"/>
  <c r="CI10" i="8"/>
  <c r="AF11" i="8"/>
  <c r="AG11" i="8"/>
  <c r="AH11" i="8"/>
  <c r="AI11" i="8"/>
  <c r="AJ11" i="8"/>
  <c r="AK11" i="8"/>
  <c r="AL11" i="8"/>
  <c r="AM11" i="8"/>
  <c r="AN11" i="8"/>
  <c r="AO11" i="8"/>
  <c r="AP11" i="8"/>
  <c r="AQ11" i="8"/>
  <c r="AR11" i="8"/>
  <c r="AS11" i="8"/>
  <c r="AT11" i="8"/>
  <c r="AU11" i="8"/>
  <c r="AV11" i="8"/>
  <c r="AW11" i="8"/>
  <c r="AX11" i="8"/>
  <c r="AY11" i="8"/>
  <c r="AZ11" i="8"/>
  <c r="BA11" i="8"/>
  <c r="BB11" i="8"/>
  <c r="BC11" i="8"/>
  <c r="BD11" i="8"/>
  <c r="BE11" i="8"/>
  <c r="BF11" i="8"/>
  <c r="BG11" i="8"/>
  <c r="BH11" i="8"/>
  <c r="BI11" i="8"/>
  <c r="BJ11" i="8"/>
  <c r="BK11" i="8"/>
  <c r="BL11" i="8"/>
  <c r="BM11" i="8"/>
  <c r="BN11" i="8"/>
  <c r="BO11" i="8"/>
  <c r="BP11" i="8"/>
  <c r="BQ11" i="8"/>
  <c r="BR11" i="8"/>
  <c r="BS11" i="8"/>
  <c r="BT11" i="8"/>
  <c r="BU11" i="8"/>
  <c r="BV11" i="8"/>
  <c r="BW11" i="8"/>
  <c r="BX11" i="8"/>
  <c r="BY11" i="8"/>
  <c r="BZ11" i="8"/>
  <c r="CA11" i="8"/>
  <c r="CB11" i="8"/>
  <c r="CC11" i="8"/>
  <c r="CD11" i="8"/>
  <c r="CE11" i="8"/>
  <c r="CF11" i="8"/>
  <c r="CG11" i="8"/>
  <c r="CH11" i="8"/>
  <c r="CI11" i="8"/>
  <c r="AF13" i="8"/>
  <c r="AG13" i="8"/>
  <c r="AH13" i="8"/>
  <c r="AI13" i="8"/>
  <c r="AJ13" i="8"/>
  <c r="AK13" i="8"/>
  <c r="AL13" i="8"/>
  <c r="AM13" i="8"/>
  <c r="AN13" i="8"/>
  <c r="AO13" i="8"/>
  <c r="AP13" i="8"/>
  <c r="AQ13" i="8"/>
  <c r="AR13" i="8"/>
  <c r="AS13" i="8"/>
  <c r="AT13" i="8"/>
  <c r="AU13" i="8"/>
  <c r="AV13" i="8"/>
  <c r="AW13" i="8"/>
  <c r="AX13" i="8"/>
  <c r="AY13" i="8"/>
  <c r="BA13" i="8"/>
  <c r="BB13" i="8"/>
  <c r="BC13" i="8"/>
  <c r="BD13" i="8"/>
  <c r="BE13" i="8"/>
  <c r="BF13" i="8"/>
  <c r="BG13" i="8"/>
  <c r="BH13" i="8"/>
  <c r="BI13" i="8"/>
  <c r="BJ13" i="8"/>
  <c r="BK13" i="8"/>
  <c r="BL13" i="8"/>
  <c r="BR13" i="8"/>
  <c r="BS13" i="8"/>
  <c r="BT13" i="8"/>
  <c r="BU13" i="8"/>
  <c r="BV13" i="8"/>
  <c r="BW13" i="8"/>
  <c r="BX13" i="8"/>
  <c r="BY13" i="8"/>
  <c r="BZ13" i="8"/>
  <c r="CA13" i="8"/>
  <c r="CB13" i="8"/>
  <c r="CC13" i="8"/>
  <c r="CD13" i="8"/>
  <c r="CE13" i="8"/>
  <c r="CF13" i="8"/>
  <c r="CG13" i="8"/>
  <c r="CH13" i="8"/>
  <c r="CI13" i="8"/>
  <c r="CJ13" i="8"/>
  <c r="CK13" i="8"/>
  <c r="CL13" i="8"/>
  <c r="CM13" i="8"/>
  <c r="CN13" i="8"/>
  <c r="CO13" i="8"/>
  <c r="CP13" i="8"/>
  <c r="CQ13" i="8"/>
  <c r="CR13" i="8"/>
  <c r="CS13" i="8"/>
  <c r="CT13" i="8"/>
  <c r="CU13" i="8"/>
  <c r="AF14" i="8"/>
  <c r="AG14" i="8"/>
  <c r="AH14" i="8"/>
  <c r="AI14" i="8"/>
  <c r="AJ14" i="8"/>
  <c r="AK14" i="8"/>
  <c r="AL14" i="8"/>
  <c r="AM14" i="8"/>
  <c r="AN14" i="8"/>
  <c r="AO14" i="8"/>
  <c r="AP14" i="8"/>
  <c r="AQ14" i="8"/>
  <c r="AR14" i="8"/>
  <c r="AS14" i="8"/>
  <c r="AT14" i="8"/>
  <c r="AU14" i="8"/>
  <c r="AV14" i="8"/>
  <c r="AW14" i="8"/>
  <c r="AX14" i="8"/>
  <c r="AY14" i="8"/>
  <c r="AZ14" i="8"/>
  <c r="BA14" i="8"/>
  <c r="BB14" i="8"/>
  <c r="BC14" i="8"/>
  <c r="BD14" i="8"/>
  <c r="BE14" i="8"/>
  <c r="BF14" i="8"/>
  <c r="BG14" i="8"/>
  <c r="BH14" i="8"/>
  <c r="BI14" i="8"/>
  <c r="BJ14" i="8"/>
  <c r="BK14" i="8"/>
  <c r="BL14" i="8"/>
  <c r="BM14" i="8"/>
  <c r="BN14" i="8"/>
  <c r="BO14" i="8"/>
  <c r="BP14" i="8"/>
  <c r="BQ14" i="8"/>
  <c r="BR14" i="8"/>
  <c r="BS14" i="8"/>
  <c r="BT14" i="8"/>
  <c r="BU14" i="8"/>
  <c r="BV14" i="8"/>
  <c r="BW14" i="8"/>
  <c r="BX14" i="8"/>
  <c r="BY14" i="8"/>
  <c r="BZ14" i="8"/>
  <c r="CA14" i="8"/>
  <c r="CB14" i="8"/>
  <c r="CC14" i="8"/>
  <c r="CD14" i="8"/>
  <c r="CE14" i="8"/>
  <c r="CF14" i="8"/>
  <c r="CG14" i="8"/>
  <c r="CH14" i="8"/>
  <c r="CI14" i="8"/>
  <c r="CJ14" i="8"/>
  <c r="CK14" i="8"/>
  <c r="CL14" i="8"/>
  <c r="CM14" i="8"/>
  <c r="CN14" i="8"/>
  <c r="CO14" i="8"/>
  <c r="CP14" i="8"/>
  <c r="CQ14" i="8"/>
  <c r="CR14" i="8"/>
  <c r="CS14" i="8"/>
  <c r="CT14" i="8"/>
  <c r="CU14" i="8"/>
  <c r="AF15" i="8"/>
  <c r="AG15" i="8"/>
  <c r="AH15" i="8"/>
  <c r="AI15" i="8"/>
  <c r="AJ15" i="8"/>
  <c r="AK15" i="8"/>
  <c r="AL15" i="8"/>
  <c r="AM15" i="8"/>
  <c r="AN15" i="8"/>
  <c r="AO15" i="8"/>
  <c r="AP15" i="8"/>
  <c r="AQ15" i="8"/>
  <c r="AR15" i="8"/>
  <c r="AS15" i="8"/>
  <c r="AT15" i="8"/>
  <c r="AU15" i="8"/>
  <c r="AV15" i="8"/>
  <c r="AW15" i="8"/>
  <c r="AX15" i="8"/>
  <c r="AY15" i="8"/>
  <c r="AZ15" i="8"/>
  <c r="BA15" i="8"/>
  <c r="BB15" i="8"/>
  <c r="BC15" i="8"/>
  <c r="BD15" i="8"/>
  <c r="BE15" i="8"/>
  <c r="BF15" i="8"/>
  <c r="BG15" i="8"/>
  <c r="BH15" i="8"/>
  <c r="BI15" i="8"/>
  <c r="BJ15" i="8"/>
  <c r="BK15" i="8"/>
  <c r="BL15" i="8"/>
  <c r="BM15" i="8"/>
  <c r="BN15" i="8"/>
  <c r="BO15" i="8"/>
  <c r="BP15" i="8"/>
  <c r="BQ15" i="8"/>
  <c r="BR15" i="8"/>
  <c r="BS15" i="8"/>
  <c r="BT15" i="8"/>
  <c r="BU15" i="8"/>
  <c r="BV15" i="8"/>
  <c r="BW15" i="8"/>
  <c r="BX15" i="8"/>
  <c r="BY15" i="8"/>
  <c r="BZ15" i="8"/>
  <c r="CA15" i="8"/>
  <c r="CB15" i="8"/>
  <c r="CC15" i="8"/>
  <c r="CD15" i="8"/>
  <c r="CE15" i="8"/>
  <c r="CF15" i="8"/>
  <c r="CG15" i="8"/>
  <c r="CH15" i="8"/>
  <c r="CI15" i="8"/>
  <c r="CJ15" i="8"/>
  <c r="CK15" i="8"/>
  <c r="CL15" i="8"/>
  <c r="CM15" i="8"/>
  <c r="CN15" i="8"/>
  <c r="CO15" i="8"/>
  <c r="CP15" i="8"/>
  <c r="CQ15" i="8"/>
  <c r="CR15" i="8"/>
  <c r="CS15" i="8"/>
  <c r="CT15" i="8"/>
  <c r="CU15" i="8"/>
  <c r="AF17" i="8"/>
  <c r="AG17" i="8"/>
  <c r="AH17" i="8"/>
  <c r="AI17" i="8"/>
  <c r="AJ17" i="8"/>
  <c r="AK17" i="8"/>
  <c r="AL17" i="8"/>
  <c r="AM17" i="8"/>
  <c r="AN17" i="8"/>
  <c r="AO17" i="8"/>
  <c r="AP17" i="8"/>
  <c r="AQ17" i="8"/>
  <c r="AR17" i="8"/>
  <c r="AS17" i="8"/>
  <c r="AT17" i="8"/>
  <c r="AU17" i="8"/>
  <c r="AV17" i="8"/>
  <c r="AW17" i="8"/>
  <c r="AX17" i="8"/>
  <c r="AY17" i="8"/>
  <c r="AZ17" i="8"/>
  <c r="BA17" i="8"/>
  <c r="BB17" i="8"/>
  <c r="BC17" i="8"/>
  <c r="BD17" i="8"/>
  <c r="BE17" i="8"/>
  <c r="BF17" i="8"/>
  <c r="BG17" i="8"/>
  <c r="BH17" i="8"/>
  <c r="BI17" i="8"/>
  <c r="BJ17" i="8"/>
  <c r="BK17" i="8"/>
  <c r="BL17" i="8"/>
  <c r="BM17" i="8"/>
  <c r="BN17" i="8"/>
  <c r="BO17" i="8"/>
  <c r="BP17" i="8"/>
  <c r="BQ17" i="8"/>
  <c r="BR17" i="8"/>
  <c r="BS17" i="8"/>
  <c r="BT17" i="8"/>
  <c r="BU17" i="8"/>
  <c r="BV17" i="8"/>
  <c r="BW17" i="8"/>
  <c r="BX17" i="8"/>
  <c r="BY17" i="8"/>
  <c r="BZ17" i="8"/>
  <c r="CA17" i="8"/>
  <c r="CB17" i="8"/>
  <c r="CC17" i="8"/>
  <c r="CD17" i="8"/>
  <c r="CE17" i="8"/>
  <c r="CF17" i="8"/>
  <c r="CG17" i="8"/>
  <c r="CH17" i="8"/>
  <c r="CI17" i="8"/>
  <c r="CJ17" i="8"/>
  <c r="CK17" i="8"/>
  <c r="CL17" i="8"/>
  <c r="CM17" i="8"/>
  <c r="CN17" i="8"/>
  <c r="CO17" i="8"/>
  <c r="CP17" i="8"/>
  <c r="CQ17" i="8"/>
  <c r="CR17" i="8"/>
  <c r="CS17" i="8"/>
  <c r="CT17" i="8"/>
  <c r="CU17" i="8"/>
  <c r="AF21" i="8"/>
  <c r="AG21" i="8"/>
  <c r="AH21" i="8"/>
  <c r="AI21" i="8"/>
  <c r="AJ21" i="8"/>
  <c r="AK21" i="8"/>
  <c r="AL21" i="8"/>
  <c r="AM21" i="8"/>
  <c r="AN21" i="8"/>
  <c r="AO21" i="8"/>
  <c r="AP21" i="8"/>
  <c r="AQ21" i="8"/>
  <c r="AR21" i="8"/>
  <c r="AS21" i="8"/>
  <c r="AT21" i="8"/>
  <c r="AU21" i="8"/>
  <c r="AV21" i="8"/>
  <c r="AW21" i="8"/>
  <c r="AX21" i="8"/>
  <c r="AY21" i="8"/>
  <c r="AZ21" i="8"/>
  <c r="BA21" i="8"/>
  <c r="BB21" i="8"/>
  <c r="BC21" i="8"/>
  <c r="BD21" i="8"/>
  <c r="BE21" i="8"/>
  <c r="BF21" i="8"/>
  <c r="BG21" i="8"/>
  <c r="BH21" i="8"/>
  <c r="BI21" i="8"/>
  <c r="BJ21" i="8"/>
  <c r="BK21" i="8"/>
  <c r="BL21" i="8"/>
  <c r="BM21" i="8"/>
  <c r="BN21" i="8"/>
  <c r="BO21" i="8"/>
  <c r="BP21" i="8"/>
  <c r="BQ21" i="8"/>
  <c r="BR21" i="8"/>
  <c r="BS21" i="8"/>
  <c r="BT21" i="8"/>
  <c r="BU21" i="8"/>
  <c r="BV21" i="8"/>
  <c r="BW21" i="8"/>
  <c r="BX21" i="8"/>
  <c r="BY21" i="8"/>
  <c r="BZ21" i="8"/>
  <c r="CA21" i="8"/>
  <c r="CB21" i="8"/>
  <c r="CC21" i="8"/>
  <c r="CD21" i="8"/>
  <c r="CE21" i="8"/>
  <c r="CF21" i="8"/>
  <c r="CG21" i="8"/>
  <c r="CH21" i="8"/>
  <c r="CI21" i="8"/>
  <c r="CJ21" i="8"/>
  <c r="CK21" i="8"/>
  <c r="CL21" i="8"/>
  <c r="CM21" i="8"/>
  <c r="CN21" i="8"/>
  <c r="CO21" i="8"/>
  <c r="CP21" i="8"/>
  <c r="CQ21" i="8"/>
  <c r="CR21" i="8"/>
  <c r="CS21" i="8"/>
  <c r="CT21" i="8"/>
  <c r="CU21" i="8"/>
  <c r="AB21" i="8"/>
  <c r="AA21" i="8"/>
  <c r="Z21" i="8"/>
  <c r="Y21" i="8"/>
  <c r="X21" i="8"/>
  <c r="W21" i="8"/>
  <c r="V21" i="8"/>
  <c r="U21" i="8"/>
  <c r="T21" i="8"/>
  <c r="S21" i="8"/>
  <c r="R21" i="8"/>
  <c r="Q21" i="8"/>
  <c r="AB14" i="8"/>
  <c r="AA14" i="8"/>
  <c r="Z14" i="8"/>
  <c r="Y14" i="8"/>
  <c r="X14" i="8"/>
  <c r="W14" i="8"/>
  <c r="V14" i="8"/>
  <c r="U14" i="8"/>
  <c r="T14" i="8"/>
  <c r="S14" i="8"/>
  <c r="R14" i="8"/>
  <c r="Q14" i="8"/>
  <c r="AB13" i="8"/>
  <c r="AA13" i="8"/>
  <c r="Z13" i="8"/>
  <c r="Y13" i="8"/>
  <c r="X13" i="8"/>
  <c r="W13" i="8"/>
  <c r="V13" i="8"/>
  <c r="U13" i="8"/>
  <c r="T13" i="8"/>
  <c r="S13" i="8"/>
  <c r="R13" i="8"/>
  <c r="Q13" i="8"/>
  <c r="AB10" i="8"/>
  <c r="AA10" i="8"/>
  <c r="Z10" i="8"/>
  <c r="Y10" i="8"/>
  <c r="X10" i="8"/>
  <c r="W10" i="8"/>
  <c r="V10" i="8"/>
  <c r="U10" i="8"/>
  <c r="T10" i="8"/>
  <c r="S10" i="8"/>
  <c r="R10" i="8"/>
  <c r="Q10" i="8"/>
  <c r="AB9" i="8"/>
  <c r="AB11" i="8" s="1"/>
  <c r="AA9" i="8"/>
  <c r="AA11" i="8" s="1"/>
  <c r="Z9" i="8"/>
  <c r="Z11" i="8" s="1"/>
  <c r="Y9" i="8"/>
  <c r="Y11" i="8" s="1"/>
  <c r="X9" i="8"/>
  <c r="X11" i="8" s="1"/>
  <c r="W9" i="8"/>
  <c r="W11" i="8" s="1"/>
  <c r="V9" i="8"/>
  <c r="V11" i="8" s="1"/>
  <c r="U9" i="8"/>
  <c r="U11" i="8" s="1"/>
  <c r="T9" i="8"/>
  <c r="T11" i="8" s="1"/>
  <c r="S9" i="8"/>
  <c r="S11" i="8" s="1"/>
  <c r="R9" i="8"/>
  <c r="R11" i="8" s="1"/>
  <c r="Q9" i="8"/>
  <c r="Q11" i="8" s="1"/>
  <c r="AB3" i="8"/>
  <c r="AB4" i="8" s="1"/>
  <c r="AB6" i="8" s="1"/>
  <c r="AB7" i="8" s="1"/>
  <c r="AA3" i="8"/>
  <c r="AA4" i="8" s="1"/>
  <c r="AA6" i="8" s="1"/>
  <c r="AA7" i="8" s="1"/>
  <c r="Z3" i="8"/>
  <c r="Z4" i="8" s="1"/>
  <c r="Z6" i="8" s="1"/>
  <c r="Z7" i="8" s="1"/>
  <c r="Y3" i="8"/>
  <c r="Y4" i="8" s="1"/>
  <c r="Y6" i="8" s="1"/>
  <c r="Y7" i="8" s="1"/>
  <c r="X3" i="8"/>
  <c r="X4" i="8" s="1"/>
  <c r="X6" i="8" s="1"/>
  <c r="X7" i="8" s="1"/>
  <c r="W3" i="8"/>
  <c r="W4" i="8" s="1"/>
  <c r="W6" i="8" s="1"/>
  <c r="W7" i="8" s="1"/>
  <c r="V3" i="8"/>
  <c r="V4" i="8" s="1"/>
  <c r="V6" i="8" s="1"/>
  <c r="V7" i="8" s="1"/>
  <c r="U3" i="8"/>
  <c r="U4" i="8" s="1"/>
  <c r="U6" i="8" s="1"/>
  <c r="U7" i="8" s="1"/>
  <c r="T3" i="8"/>
  <c r="T4" i="8" s="1"/>
  <c r="T6" i="8" s="1"/>
  <c r="T7" i="8" s="1"/>
  <c r="S3" i="8"/>
  <c r="S4" i="8" s="1"/>
  <c r="S6" i="8" s="1"/>
  <c r="S7" i="8" s="1"/>
  <c r="R3" i="8"/>
  <c r="R4" i="8" s="1"/>
  <c r="R6" i="8" s="1"/>
  <c r="R7" i="8" s="1"/>
  <c r="Q3" i="8"/>
  <c r="Q4" i="8" s="1"/>
  <c r="Q6" i="8" s="1"/>
  <c r="Q7" i="8" s="1"/>
  <c r="E13" i="1"/>
  <c r="E9" i="1"/>
  <c r="E14" i="1"/>
  <c r="E10" i="1"/>
  <c r="E4" i="1"/>
  <c r="E3" i="1"/>
  <c r="E21" i="1"/>
  <c r="E11" i="1"/>
  <c r="F13" i="1"/>
  <c r="F14" i="1"/>
  <c r="F10" i="1"/>
  <c r="F9" i="1"/>
  <c r="F3" i="1"/>
  <c r="F21" i="1"/>
  <c r="F11" i="1"/>
  <c r="G13" i="1"/>
  <c r="G14" i="1"/>
  <c r="G10" i="1"/>
  <c r="G9" i="1"/>
  <c r="G3" i="1"/>
  <c r="S3" i="1"/>
  <c r="G21" i="1"/>
  <c r="G11" i="1"/>
  <c r="O21" i="7"/>
  <c r="N21" i="7"/>
  <c r="M21" i="7"/>
  <c r="L21" i="7"/>
  <c r="K21" i="7"/>
  <c r="J21" i="7"/>
  <c r="I21" i="7"/>
  <c r="H21" i="7"/>
  <c r="G21" i="7"/>
  <c r="F21" i="7"/>
  <c r="E21" i="7"/>
  <c r="D21" i="7"/>
  <c r="O14" i="7"/>
  <c r="N14" i="7"/>
  <c r="M14" i="7"/>
  <c r="L14" i="7"/>
  <c r="K14" i="7"/>
  <c r="J14" i="7"/>
  <c r="I14" i="7"/>
  <c r="H14" i="7"/>
  <c r="G14" i="7"/>
  <c r="F14" i="7"/>
  <c r="E14" i="7"/>
  <c r="D14" i="7"/>
  <c r="O13" i="7"/>
  <c r="N13" i="7"/>
  <c r="M13" i="7"/>
  <c r="L13" i="7"/>
  <c r="K13" i="7"/>
  <c r="J13" i="7"/>
  <c r="I13" i="7"/>
  <c r="H13" i="7"/>
  <c r="G13" i="7"/>
  <c r="F13" i="7"/>
  <c r="E13" i="7"/>
  <c r="D13" i="7"/>
  <c r="O4" i="7"/>
  <c r="O6" i="7" s="1"/>
  <c r="O7" i="7" s="1"/>
  <c r="N4" i="7"/>
  <c r="N6" i="7" s="1"/>
  <c r="N7" i="7" s="1"/>
  <c r="M4" i="7"/>
  <c r="M6" i="7" s="1"/>
  <c r="M7" i="7" s="1"/>
  <c r="L4" i="7"/>
  <c r="L6" i="7" s="1"/>
  <c r="L7" i="7" s="1"/>
  <c r="K4" i="7"/>
  <c r="K6" i="7" s="1"/>
  <c r="K7" i="7" s="1"/>
  <c r="J4" i="7"/>
  <c r="J6" i="7" s="1"/>
  <c r="J7" i="7" s="1"/>
  <c r="I4" i="7"/>
  <c r="I6" i="7" s="1"/>
  <c r="I7" i="7" s="1"/>
  <c r="H4" i="7"/>
  <c r="H6" i="7" s="1"/>
  <c r="H7" i="7" s="1"/>
  <c r="G4" i="7"/>
  <c r="G6" i="7" s="1"/>
  <c r="G7" i="7" s="1"/>
  <c r="F4" i="7"/>
  <c r="F6" i="7" s="1"/>
  <c r="F7" i="7" s="1"/>
  <c r="E4" i="7"/>
  <c r="E6" i="7" s="1"/>
  <c r="E7" i="7" s="1"/>
  <c r="D4" i="7"/>
  <c r="D6" i="7" s="1"/>
  <c r="D7" i="7" s="1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O10" i="6"/>
  <c r="N10" i="6"/>
  <c r="M10" i="6"/>
  <c r="L10" i="6"/>
  <c r="K10" i="6"/>
  <c r="J10" i="6"/>
  <c r="I10" i="6"/>
  <c r="H10" i="6"/>
  <c r="G10" i="6"/>
  <c r="F10" i="6"/>
  <c r="E10" i="6"/>
  <c r="D10" i="6"/>
  <c r="O9" i="6"/>
  <c r="O11" i="6" s="1"/>
  <c r="N9" i="6"/>
  <c r="N11" i="6" s="1"/>
  <c r="M9" i="6"/>
  <c r="M11" i="6" s="1"/>
  <c r="L9" i="6"/>
  <c r="L11" i="6" s="1"/>
  <c r="K9" i="6"/>
  <c r="K11" i="6" s="1"/>
  <c r="J9" i="6"/>
  <c r="J11" i="6" s="1"/>
  <c r="I9" i="6"/>
  <c r="I11" i="6" s="1"/>
  <c r="H9" i="6"/>
  <c r="H11" i="6" s="1"/>
  <c r="G9" i="6"/>
  <c r="G11" i="6" s="1"/>
  <c r="F9" i="6"/>
  <c r="F11" i="6" s="1"/>
  <c r="E9" i="6"/>
  <c r="E11" i="6" s="1"/>
  <c r="D9" i="6"/>
  <c r="D11" i="6" s="1"/>
  <c r="AA4" i="6"/>
  <c r="AA6" i="6" s="1"/>
  <c r="AA7" i="6" s="1"/>
  <c r="Z4" i="6"/>
  <c r="Z6" i="6" s="1"/>
  <c r="Z7" i="6" s="1"/>
  <c r="Y4" i="6"/>
  <c r="Y6" i="6" s="1"/>
  <c r="Y7" i="6" s="1"/>
  <c r="X4" i="6"/>
  <c r="X6" i="6" s="1"/>
  <c r="X7" i="6" s="1"/>
  <c r="W4" i="6"/>
  <c r="W6" i="6" s="1"/>
  <c r="W7" i="6" s="1"/>
  <c r="V4" i="6"/>
  <c r="V6" i="6" s="1"/>
  <c r="V7" i="6" s="1"/>
  <c r="U4" i="6"/>
  <c r="U6" i="6" s="1"/>
  <c r="U7" i="6" s="1"/>
  <c r="T4" i="6"/>
  <c r="T6" i="6" s="1"/>
  <c r="T7" i="6" s="1"/>
  <c r="S4" i="6"/>
  <c r="S6" i="6" s="1"/>
  <c r="S7" i="6" s="1"/>
  <c r="R4" i="6"/>
  <c r="R6" i="6" s="1"/>
  <c r="R7" i="6" s="1"/>
  <c r="Q4" i="6"/>
  <c r="Q6" i="6" s="1"/>
  <c r="Q7" i="6" s="1"/>
  <c r="P4" i="6"/>
  <c r="P6" i="6" s="1"/>
  <c r="P7" i="6" s="1"/>
  <c r="O4" i="6"/>
  <c r="O6" i="6" s="1"/>
  <c r="O7" i="6" s="1"/>
  <c r="N4" i="6"/>
  <c r="N6" i="6" s="1"/>
  <c r="N7" i="6" s="1"/>
  <c r="M4" i="6"/>
  <c r="M6" i="6" s="1"/>
  <c r="M7" i="6" s="1"/>
  <c r="L4" i="6"/>
  <c r="L6" i="6" s="1"/>
  <c r="L7" i="6" s="1"/>
  <c r="K4" i="6"/>
  <c r="K6" i="6" s="1"/>
  <c r="K7" i="6" s="1"/>
  <c r="J4" i="6"/>
  <c r="J6" i="6" s="1"/>
  <c r="J7" i="6" s="1"/>
  <c r="I4" i="6"/>
  <c r="I6" i="6" s="1"/>
  <c r="I7" i="6" s="1"/>
  <c r="H4" i="6"/>
  <c r="H6" i="6" s="1"/>
  <c r="H7" i="6" s="1"/>
  <c r="G3" i="6"/>
  <c r="G4" i="6" s="1"/>
  <c r="G6" i="6" s="1"/>
  <c r="G7" i="6" s="1"/>
  <c r="F3" i="6"/>
  <c r="D3" i="6"/>
  <c r="D4" i="6" s="1"/>
  <c r="D6" i="6" s="1"/>
  <c r="D7" i="6" s="1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H15" i="5" s="1"/>
  <c r="G14" i="5"/>
  <c r="G15" i="5" s="1"/>
  <c r="F14" i="5"/>
  <c r="F15" i="5" s="1"/>
  <c r="E14" i="5"/>
  <c r="E15" i="5" s="1"/>
  <c r="D14" i="5"/>
  <c r="D15" i="5" s="1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H11" i="5" s="1"/>
  <c r="G10" i="5"/>
  <c r="G11" i="5" s="1"/>
  <c r="F10" i="5"/>
  <c r="F11" i="5" s="1"/>
  <c r="E10" i="5"/>
  <c r="E11" i="5" s="1"/>
  <c r="D10" i="5"/>
  <c r="D11" i="5" s="1"/>
  <c r="AA9" i="5"/>
  <c r="AA11" i="5" s="1"/>
  <c r="Z9" i="5"/>
  <c r="Z11" i="5" s="1"/>
  <c r="Y9" i="5"/>
  <c r="Y11" i="5" s="1"/>
  <c r="X9" i="5"/>
  <c r="X11" i="5" s="1"/>
  <c r="W9" i="5"/>
  <c r="W11" i="5" s="1"/>
  <c r="V9" i="5"/>
  <c r="V11" i="5" s="1"/>
  <c r="U9" i="5"/>
  <c r="U11" i="5" s="1"/>
  <c r="T9" i="5"/>
  <c r="T11" i="5" s="1"/>
  <c r="S9" i="5"/>
  <c r="S11" i="5" s="1"/>
  <c r="R9" i="5"/>
  <c r="R11" i="5" s="1"/>
  <c r="Q9" i="5"/>
  <c r="Q11" i="5" s="1"/>
  <c r="P9" i="5"/>
  <c r="P11" i="5" s="1"/>
  <c r="O9" i="5"/>
  <c r="O11" i="5" s="1"/>
  <c r="N9" i="5"/>
  <c r="N11" i="5" s="1"/>
  <c r="M9" i="5"/>
  <c r="M11" i="5" s="1"/>
  <c r="L9" i="5"/>
  <c r="L11" i="5" s="1"/>
  <c r="K9" i="5"/>
  <c r="K11" i="5" s="1"/>
  <c r="J9" i="5"/>
  <c r="J11" i="5" s="1"/>
  <c r="I9" i="5"/>
  <c r="I11" i="5" s="1"/>
  <c r="AM4" i="5"/>
  <c r="AM6" i="5" s="1"/>
  <c r="AM7" i="5" s="1"/>
  <c r="AL4" i="5"/>
  <c r="AL6" i="5" s="1"/>
  <c r="AL7" i="5" s="1"/>
  <c r="AK4" i="5"/>
  <c r="AK6" i="5" s="1"/>
  <c r="AK7" i="5" s="1"/>
  <c r="AJ4" i="5"/>
  <c r="AJ6" i="5" s="1"/>
  <c r="AJ7" i="5" s="1"/>
  <c r="AI4" i="5"/>
  <c r="AI6" i="5" s="1"/>
  <c r="AI7" i="5" s="1"/>
  <c r="AH4" i="5"/>
  <c r="AH6" i="5" s="1"/>
  <c r="AH7" i="5" s="1"/>
  <c r="AG4" i="5"/>
  <c r="AG6" i="5" s="1"/>
  <c r="AG7" i="5" s="1"/>
  <c r="AF4" i="5"/>
  <c r="AF6" i="5" s="1"/>
  <c r="AF7" i="5" s="1"/>
  <c r="AE4" i="5"/>
  <c r="AE6" i="5" s="1"/>
  <c r="AE7" i="5" s="1"/>
  <c r="AD4" i="5"/>
  <c r="AD6" i="5" s="1"/>
  <c r="AD7" i="5" s="1"/>
  <c r="AC4" i="5"/>
  <c r="AC6" i="5" s="1"/>
  <c r="AC7" i="5" s="1"/>
  <c r="AB4" i="5"/>
  <c r="AB6" i="5" s="1"/>
  <c r="AB7" i="5" s="1"/>
  <c r="AA4" i="5"/>
  <c r="AA6" i="5" s="1"/>
  <c r="AA7" i="5" s="1"/>
  <c r="Z4" i="5"/>
  <c r="Z6" i="5" s="1"/>
  <c r="Z7" i="5" s="1"/>
  <c r="Y4" i="5"/>
  <c r="Y6" i="5" s="1"/>
  <c r="Y7" i="5" s="1"/>
  <c r="X4" i="5"/>
  <c r="X6" i="5" s="1"/>
  <c r="X7" i="5" s="1"/>
  <c r="W4" i="5"/>
  <c r="W6" i="5" s="1"/>
  <c r="W7" i="5" s="1"/>
  <c r="V4" i="5"/>
  <c r="V6" i="5" s="1"/>
  <c r="V7" i="5" s="1"/>
  <c r="U4" i="5"/>
  <c r="U6" i="5" s="1"/>
  <c r="U7" i="5" s="1"/>
  <c r="T4" i="5"/>
  <c r="T6" i="5" s="1"/>
  <c r="T7" i="5" s="1"/>
  <c r="O4" i="5"/>
  <c r="O6" i="5" s="1"/>
  <c r="O7" i="5" s="1"/>
  <c r="S3" i="5"/>
  <c r="S4" i="5" s="1"/>
  <c r="S6" i="5" s="1"/>
  <c r="S7" i="5" s="1"/>
  <c r="R3" i="5"/>
  <c r="P3" i="5"/>
  <c r="P4" i="5" s="1"/>
  <c r="P6" i="5" s="1"/>
  <c r="P7" i="5" s="1"/>
  <c r="N3" i="5"/>
  <c r="G3" i="5"/>
  <c r="AX21" i="4"/>
  <c r="AW21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AX14" i="4"/>
  <c r="AW14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T15" i="4" s="1"/>
  <c r="S14" i="4"/>
  <c r="S15" i="4" s="1"/>
  <c r="R14" i="4"/>
  <c r="R15" i="4" s="1"/>
  <c r="Q14" i="4"/>
  <c r="Q15" i="4" s="1"/>
  <c r="P14" i="4"/>
  <c r="P15" i="4" s="1"/>
  <c r="O14" i="4"/>
  <c r="N14" i="4"/>
  <c r="M14" i="4"/>
  <c r="L14" i="4"/>
  <c r="K14" i="4"/>
  <c r="J14" i="4"/>
  <c r="I14" i="4"/>
  <c r="H14" i="4"/>
  <c r="G14" i="4"/>
  <c r="F14" i="4"/>
  <c r="E14" i="4"/>
  <c r="D14" i="4"/>
  <c r="AX13" i="4"/>
  <c r="AW13" i="4"/>
  <c r="AV13" i="4"/>
  <c r="AU13" i="4"/>
  <c r="AT13" i="4"/>
  <c r="AS13" i="4"/>
  <c r="AR13" i="4"/>
  <c r="AQ13" i="4"/>
  <c r="AP13" i="4"/>
  <c r="AO13" i="4"/>
  <c r="AN13" i="4"/>
  <c r="AM13" i="4"/>
  <c r="AL13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O13" i="4"/>
  <c r="N13" i="4"/>
  <c r="M13" i="4"/>
  <c r="L13" i="4"/>
  <c r="K13" i="4"/>
  <c r="J13" i="4"/>
  <c r="I13" i="4"/>
  <c r="H13" i="4"/>
  <c r="G13" i="4"/>
  <c r="F13" i="4"/>
  <c r="E13" i="4"/>
  <c r="D13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T11" i="4" s="1"/>
  <c r="S10" i="4"/>
  <c r="S11" i="4" s="1"/>
  <c r="R10" i="4"/>
  <c r="R11" i="4" s="1"/>
  <c r="Q10" i="4"/>
  <c r="Q11" i="4" s="1"/>
  <c r="P10" i="4"/>
  <c r="P11" i="4" s="1"/>
  <c r="O10" i="4"/>
  <c r="N10" i="4"/>
  <c r="M10" i="4"/>
  <c r="L10" i="4"/>
  <c r="K10" i="4"/>
  <c r="J10" i="4"/>
  <c r="I10" i="4"/>
  <c r="H10" i="4"/>
  <c r="G10" i="4"/>
  <c r="F10" i="4"/>
  <c r="E10" i="4"/>
  <c r="D10" i="4"/>
  <c r="AL9" i="4"/>
  <c r="AL11" i="4" s="1"/>
  <c r="AK9" i="4"/>
  <c r="AK11" i="4" s="1"/>
  <c r="AJ9" i="4"/>
  <c r="AJ11" i="4" s="1"/>
  <c r="AI9" i="4"/>
  <c r="AI11" i="4" s="1"/>
  <c r="AH9" i="4"/>
  <c r="AH11" i="4" s="1"/>
  <c r="AG9" i="4"/>
  <c r="AG11" i="4" s="1"/>
  <c r="AF9" i="4"/>
  <c r="AF11" i="4" s="1"/>
  <c r="AE9" i="4"/>
  <c r="AE11" i="4" s="1"/>
  <c r="AD9" i="4"/>
  <c r="AD11" i="4" s="1"/>
  <c r="AC9" i="4"/>
  <c r="AC11" i="4" s="1"/>
  <c r="AB9" i="4"/>
  <c r="AB11" i="4" s="1"/>
  <c r="AA9" i="4"/>
  <c r="AA11" i="4" s="1"/>
  <c r="Z9" i="4"/>
  <c r="Z11" i="4" s="1"/>
  <c r="Y9" i="4"/>
  <c r="Y11" i="4" s="1"/>
  <c r="X9" i="4"/>
  <c r="X11" i="4" s="1"/>
  <c r="W9" i="4"/>
  <c r="W11" i="4" s="1"/>
  <c r="V9" i="4"/>
  <c r="V11" i="4" s="1"/>
  <c r="U9" i="4"/>
  <c r="U11" i="4" s="1"/>
  <c r="O9" i="4"/>
  <c r="O11" i="4" s="1"/>
  <c r="N9" i="4"/>
  <c r="N11" i="4" s="1"/>
  <c r="M9" i="4"/>
  <c r="M11" i="4" s="1"/>
  <c r="L9" i="4"/>
  <c r="L11" i="4" s="1"/>
  <c r="K9" i="4"/>
  <c r="K11" i="4" s="1"/>
  <c r="J9" i="4"/>
  <c r="J11" i="4" s="1"/>
  <c r="I9" i="4"/>
  <c r="I11" i="4" s="1"/>
  <c r="H9" i="4"/>
  <c r="H11" i="4" s="1"/>
  <c r="G9" i="4"/>
  <c r="G11" i="4" s="1"/>
  <c r="F9" i="4"/>
  <c r="F11" i="4" s="1"/>
  <c r="E9" i="4"/>
  <c r="E11" i="4" s="1"/>
  <c r="D9" i="4"/>
  <c r="D11" i="4" s="1"/>
  <c r="AX4" i="4"/>
  <c r="AX6" i="4" s="1"/>
  <c r="AX7" i="4" s="1"/>
  <c r="AW4" i="4"/>
  <c r="AW6" i="4" s="1"/>
  <c r="AW7" i="4" s="1"/>
  <c r="AV4" i="4"/>
  <c r="AV6" i="4" s="1"/>
  <c r="AV7" i="4" s="1"/>
  <c r="AU4" i="4"/>
  <c r="AU6" i="4" s="1"/>
  <c r="AU7" i="4" s="1"/>
  <c r="AT4" i="4"/>
  <c r="AT6" i="4" s="1"/>
  <c r="AT7" i="4" s="1"/>
  <c r="AS4" i="4"/>
  <c r="AS6" i="4" s="1"/>
  <c r="AS7" i="4" s="1"/>
  <c r="AR4" i="4"/>
  <c r="AR6" i="4" s="1"/>
  <c r="AR7" i="4" s="1"/>
  <c r="AQ4" i="4"/>
  <c r="AQ6" i="4" s="1"/>
  <c r="AQ7" i="4" s="1"/>
  <c r="AP4" i="4"/>
  <c r="AP6" i="4" s="1"/>
  <c r="AP7" i="4" s="1"/>
  <c r="AO4" i="4"/>
  <c r="AO6" i="4" s="1"/>
  <c r="AO7" i="4" s="1"/>
  <c r="AN4" i="4"/>
  <c r="AN6" i="4" s="1"/>
  <c r="AN7" i="4" s="1"/>
  <c r="AM4" i="4"/>
  <c r="AM6" i="4" s="1"/>
  <c r="AM7" i="4" s="1"/>
  <c r="AL4" i="4"/>
  <c r="AL6" i="4" s="1"/>
  <c r="AL7" i="4" s="1"/>
  <c r="AK4" i="4"/>
  <c r="AK6" i="4" s="1"/>
  <c r="AK7" i="4" s="1"/>
  <c r="AJ4" i="4"/>
  <c r="AJ6" i="4" s="1"/>
  <c r="AJ7" i="4" s="1"/>
  <c r="AI4" i="4"/>
  <c r="AI6" i="4" s="1"/>
  <c r="AI7" i="4" s="1"/>
  <c r="AH4" i="4"/>
  <c r="AH6" i="4" s="1"/>
  <c r="AH7" i="4" s="1"/>
  <c r="AG4" i="4"/>
  <c r="AG6" i="4" s="1"/>
  <c r="AG7" i="4" s="1"/>
  <c r="AF4" i="4"/>
  <c r="AF6" i="4" s="1"/>
  <c r="AF7" i="4" s="1"/>
  <c r="AE4" i="4"/>
  <c r="AE6" i="4" s="1"/>
  <c r="AE7" i="4" s="1"/>
  <c r="AA4" i="4"/>
  <c r="AA6" i="4" s="1"/>
  <c r="AA7" i="4" s="1"/>
  <c r="O4" i="4"/>
  <c r="O6" i="4" s="1"/>
  <c r="O7" i="4" s="1"/>
  <c r="N4" i="4"/>
  <c r="N6" i="4" s="1"/>
  <c r="N7" i="4" s="1"/>
  <c r="M4" i="4"/>
  <c r="M6" i="4" s="1"/>
  <c r="M7" i="4" s="1"/>
  <c r="L4" i="4"/>
  <c r="L6" i="4" s="1"/>
  <c r="L7" i="4" s="1"/>
  <c r="K4" i="4"/>
  <c r="K6" i="4" s="1"/>
  <c r="K7" i="4" s="1"/>
  <c r="J4" i="4"/>
  <c r="J6" i="4" s="1"/>
  <c r="J7" i="4" s="1"/>
  <c r="I4" i="4"/>
  <c r="I6" i="4" s="1"/>
  <c r="I7" i="4" s="1"/>
  <c r="H4" i="4"/>
  <c r="H6" i="4" s="1"/>
  <c r="H7" i="4" s="1"/>
  <c r="G4" i="4"/>
  <c r="G6" i="4" s="1"/>
  <c r="G7" i="4" s="1"/>
  <c r="F4" i="4"/>
  <c r="F6" i="4" s="1"/>
  <c r="F7" i="4" s="1"/>
  <c r="E4" i="4"/>
  <c r="E6" i="4" s="1"/>
  <c r="E7" i="4" s="1"/>
  <c r="D4" i="4"/>
  <c r="D6" i="4" s="1"/>
  <c r="D7" i="4" s="1"/>
  <c r="AD3" i="4"/>
  <c r="AD4" i="4" s="1"/>
  <c r="AD6" i="4" s="1"/>
  <c r="AD7" i="4" s="1"/>
  <c r="AC3" i="4"/>
  <c r="Z3" i="4"/>
  <c r="S3" i="4"/>
  <c r="BJ21" i="3"/>
  <c r="BI21" i="3"/>
  <c r="BH21" i="3"/>
  <c r="BG21" i="3"/>
  <c r="BF21" i="3"/>
  <c r="BE21" i="3"/>
  <c r="BD21" i="3"/>
  <c r="BC21" i="3"/>
  <c r="BB21" i="3"/>
  <c r="BA21" i="3"/>
  <c r="AZ21" i="3"/>
  <c r="AY21" i="3"/>
  <c r="AX21" i="3"/>
  <c r="AW21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BJ14" i="3"/>
  <c r="BI14" i="3"/>
  <c r="BH14" i="3"/>
  <c r="BG14" i="3"/>
  <c r="BF14" i="3"/>
  <c r="BE14" i="3"/>
  <c r="BD14" i="3"/>
  <c r="BC14" i="3"/>
  <c r="BB14" i="3"/>
  <c r="BA14" i="3"/>
  <c r="AZ14" i="3"/>
  <c r="AY14" i="3"/>
  <c r="AX14" i="3"/>
  <c r="AW14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F15" i="3" s="1"/>
  <c r="AE14" i="3"/>
  <c r="AE15" i="3" s="1"/>
  <c r="AD14" i="3"/>
  <c r="AD15" i="3" s="1"/>
  <c r="AC14" i="3"/>
  <c r="AC15" i="3" s="1"/>
  <c r="AB14" i="3"/>
  <c r="AB15" i="3" s="1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O15" i="3" s="1"/>
  <c r="N14" i="3"/>
  <c r="M14" i="3"/>
  <c r="L14" i="3"/>
  <c r="K14" i="3"/>
  <c r="J14" i="3"/>
  <c r="I14" i="3"/>
  <c r="H14" i="3"/>
  <c r="G14" i="3"/>
  <c r="F14" i="3"/>
  <c r="E14" i="3"/>
  <c r="D14" i="3"/>
  <c r="BJ13" i="3"/>
  <c r="BI13" i="3"/>
  <c r="BH13" i="3"/>
  <c r="BG13" i="3"/>
  <c r="BF13" i="3"/>
  <c r="BE13" i="3"/>
  <c r="BD13" i="3"/>
  <c r="BC13" i="3"/>
  <c r="BB13" i="3"/>
  <c r="BA13" i="3"/>
  <c r="AZ13" i="3"/>
  <c r="AY13" i="3"/>
  <c r="AX13" i="3"/>
  <c r="AW13" i="3"/>
  <c r="AV13" i="3"/>
  <c r="AU13" i="3"/>
  <c r="AT13" i="3"/>
  <c r="AS13" i="3"/>
  <c r="AR13" i="3"/>
  <c r="AQ13" i="3"/>
  <c r="AP13" i="3"/>
  <c r="AO13" i="3"/>
  <c r="AN13" i="3"/>
  <c r="AM13" i="3"/>
  <c r="AL13" i="3"/>
  <c r="AK13" i="3"/>
  <c r="AJ13" i="3"/>
  <c r="AI13" i="3"/>
  <c r="AH13" i="3"/>
  <c r="AG13" i="3"/>
  <c r="AA13" i="3"/>
  <c r="Z13" i="3"/>
  <c r="Y13" i="3"/>
  <c r="X13" i="3"/>
  <c r="W13" i="3"/>
  <c r="V13" i="3"/>
  <c r="U13" i="3"/>
  <c r="T13" i="3"/>
  <c r="S13" i="3"/>
  <c r="R13" i="3"/>
  <c r="Q13" i="3"/>
  <c r="P13" i="3"/>
  <c r="N13" i="3"/>
  <c r="M13" i="3"/>
  <c r="L13" i="3"/>
  <c r="K13" i="3"/>
  <c r="J13" i="3"/>
  <c r="I13" i="3"/>
  <c r="H13" i="3"/>
  <c r="G13" i="3"/>
  <c r="F13" i="3"/>
  <c r="E13" i="3"/>
  <c r="D13" i="3"/>
  <c r="AX10" i="3"/>
  <c r="AW10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F11" i="3" s="1"/>
  <c r="AE10" i="3"/>
  <c r="AE11" i="3" s="1"/>
  <c r="AD10" i="3"/>
  <c r="AD11" i="3" s="1"/>
  <c r="AC10" i="3"/>
  <c r="AC11" i="3" s="1"/>
  <c r="AB10" i="3"/>
  <c r="AB11" i="3" s="1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AX9" i="3"/>
  <c r="AX11" i="3" s="1"/>
  <c r="AW9" i="3"/>
  <c r="AW11" i="3" s="1"/>
  <c r="AV9" i="3"/>
  <c r="AV11" i="3" s="1"/>
  <c r="AU9" i="3"/>
  <c r="AU11" i="3" s="1"/>
  <c r="AT9" i="3"/>
  <c r="AT11" i="3" s="1"/>
  <c r="AS9" i="3"/>
  <c r="AS11" i="3" s="1"/>
  <c r="AR9" i="3"/>
  <c r="AR11" i="3" s="1"/>
  <c r="AQ9" i="3"/>
  <c r="AQ11" i="3" s="1"/>
  <c r="AP9" i="3"/>
  <c r="AP11" i="3" s="1"/>
  <c r="AO9" i="3"/>
  <c r="AO11" i="3" s="1"/>
  <c r="AN9" i="3"/>
  <c r="AN11" i="3" s="1"/>
  <c r="AM9" i="3"/>
  <c r="AM11" i="3" s="1"/>
  <c r="AL9" i="3"/>
  <c r="AL11" i="3" s="1"/>
  <c r="AK9" i="3"/>
  <c r="AK11" i="3" s="1"/>
  <c r="AJ9" i="3"/>
  <c r="AJ11" i="3" s="1"/>
  <c r="AI9" i="3"/>
  <c r="AI11" i="3" s="1"/>
  <c r="AH9" i="3"/>
  <c r="AH11" i="3" s="1"/>
  <c r="AG9" i="3"/>
  <c r="AG11" i="3" s="1"/>
  <c r="AA9" i="3"/>
  <c r="AA11" i="3" s="1"/>
  <c r="Z9" i="3"/>
  <c r="Z11" i="3" s="1"/>
  <c r="Y9" i="3"/>
  <c r="Y11" i="3" s="1"/>
  <c r="X9" i="3"/>
  <c r="X11" i="3" s="1"/>
  <c r="W9" i="3"/>
  <c r="W11" i="3" s="1"/>
  <c r="V9" i="3"/>
  <c r="V11" i="3" s="1"/>
  <c r="U9" i="3"/>
  <c r="U11" i="3" s="1"/>
  <c r="T9" i="3"/>
  <c r="T11" i="3" s="1"/>
  <c r="S9" i="3"/>
  <c r="S11" i="3" s="1"/>
  <c r="R9" i="3"/>
  <c r="R11" i="3" s="1"/>
  <c r="Q9" i="3"/>
  <c r="Q11" i="3" s="1"/>
  <c r="P9" i="3"/>
  <c r="P11" i="3" s="1"/>
  <c r="O9" i="3"/>
  <c r="O11" i="3" s="1"/>
  <c r="N9" i="3"/>
  <c r="N11" i="3" s="1"/>
  <c r="M9" i="3"/>
  <c r="M11" i="3" s="1"/>
  <c r="L9" i="3"/>
  <c r="L11" i="3" s="1"/>
  <c r="K9" i="3"/>
  <c r="K11" i="3" s="1"/>
  <c r="J9" i="3"/>
  <c r="J11" i="3" s="1"/>
  <c r="I9" i="3"/>
  <c r="I11" i="3" s="1"/>
  <c r="H9" i="3"/>
  <c r="H11" i="3" s="1"/>
  <c r="G9" i="3"/>
  <c r="G11" i="3" s="1"/>
  <c r="F9" i="3"/>
  <c r="F11" i="3" s="1"/>
  <c r="E9" i="3"/>
  <c r="E11" i="3" s="1"/>
  <c r="D9" i="3"/>
  <c r="D11" i="3" s="1"/>
  <c r="BJ4" i="3"/>
  <c r="BJ6" i="3" s="1"/>
  <c r="BJ7" i="3" s="1"/>
  <c r="BI4" i="3"/>
  <c r="BI6" i="3" s="1"/>
  <c r="BI7" i="3" s="1"/>
  <c r="BH4" i="3"/>
  <c r="BH6" i="3" s="1"/>
  <c r="BH7" i="3" s="1"/>
  <c r="BG4" i="3"/>
  <c r="BG6" i="3" s="1"/>
  <c r="BG7" i="3" s="1"/>
  <c r="BF4" i="3"/>
  <c r="BF6" i="3" s="1"/>
  <c r="BF7" i="3" s="1"/>
  <c r="BE4" i="3"/>
  <c r="BE6" i="3" s="1"/>
  <c r="BE7" i="3" s="1"/>
  <c r="BD4" i="3"/>
  <c r="BD6" i="3" s="1"/>
  <c r="BD7" i="3" s="1"/>
  <c r="BC4" i="3"/>
  <c r="BC6" i="3" s="1"/>
  <c r="BC7" i="3" s="1"/>
  <c r="BB4" i="3"/>
  <c r="BB6" i="3" s="1"/>
  <c r="BB7" i="3" s="1"/>
  <c r="BA4" i="3"/>
  <c r="BA6" i="3" s="1"/>
  <c r="BA7" i="3" s="1"/>
  <c r="AZ4" i="3"/>
  <c r="AZ6" i="3" s="1"/>
  <c r="AZ7" i="3" s="1"/>
  <c r="AY4" i="3"/>
  <c r="AY6" i="3" s="1"/>
  <c r="AY7" i="3" s="1"/>
  <c r="AX4" i="3"/>
  <c r="AX6" i="3" s="1"/>
  <c r="AX7" i="3" s="1"/>
  <c r="AW4" i="3"/>
  <c r="AW6" i="3" s="1"/>
  <c r="AW7" i="3" s="1"/>
  <c r="AV4" i="3"/>
  <c r="AV6" i="3" s="1"/>
  <c r="AV7" i="3" s="1"/>
  <c r="AU4" i="3"/>
  <c r="AU6" i="3" s="1"/>
  <c r="AU7" i="3" s="1"/>
  <c r="AT4" i="3"/>
  <c r="AT6" i="3" s="1"/>
  <c r="AT7" i="3" s="1"/>
  <c r="AS4" i="3"/>
  <c r="AS6" i="3" s="1"/>
  <c r="AS7" i="3" s="1"/>
  <c r="AR4" i="3"/>
  <c r="AR6" i="3" s="1"/>
  <c r="AR7" i="3" s="1"/>
  <c r="AQ4" i="3"/>
  <c r="AQ6" i="3" s="1"/>
  <c r="AQ7" i="3" s="1"/>
  <c r="AM4" i="3"/>
  <c r="AM6" i="3" s="1"/>
  <c r="AM7" i="3" s="1"/>
  <c r="AA4" i="3"/>
  <c r="AA6" i="3" s="1"/>
  <c r="AA7" i="3" s="1"/>
  <c r="Z4" i="3"/>
  <c r="Z6" i="3" s="1"/>
  <c r="Z7" i="3" s="1"/>
  <c r="Y4" i="3"/>
  <c r="Y6" i="3" s="1"/>
  <c r="Y7" i="3" s="1"/>
  <c r="X4" i="3"/>
  <c r="X6" i="3" s="1"/>
  <c r="X7" i="3" s="1"/>
  <c r="W4" i="3"/>
  <c r="W6" i="3" s="1"/>
  <c r="W7" i="3" s="1"/>
  <c r="V4" i="3"/>
  <c r="V6" i="3" s="1"/>
  <c r="V7" i="3" s="1"/>
  <c r="U4" i="3"/>
  <c r="U6" i="3" s="1"/>
  <c r="U7" i="3" s="1"/>
  <c r="T4" i="3"/>
  <c r="T6" i="3" s="1"/>
  <c r="T7" i="3" s="1"/>
  <c r="S4" i="3"/>
  <c r="S6" i="3" s="1"/>
  <c r="S7" i="3" s="1"/>
  <c r="R4" i="3"/>
  <c r="R6" i="3" s="1"/>
  <c r="R7" i="3" s="1"/>
  <c r="Q4" i="3"/>
  <c r="Q6" i="3" s="1"/>
  <c r="Q7" i="3" s="1"/>
  <c r="P4" i="3"/>
  <c r="P6" i="3" s="1"/>
  <c r="P7" i="3" s="1"/>
  <c r="O4" i="3"/>
  <c r="O6" i="3" s="1"/>
  <c r="O7" i="3" s="1"/>
  <c r="N4" i="3"/>
  <c r="N6" i="3" s="1"/>
  <c r="N7" i="3" s="1"/>
  <c r="M4" i="3"/>
  <c r="M6" i="3" s="1"/>
  <c r="M7" i="3" s="1"/>
  <c r="L4" i="3"/>
  <c r="L6" i="3" s="1"/>
  <c r="L7" i="3" s="1"/>
  <c r="K4" i="3"/>
  <c r="K6" i="3" s="1"/>
  <c r="K7" i="3" s="1"/>
  <c r="J4" i="3"/>
  <c r="J6" i="3" s="1"/>
  <c r="J7" i="3" s="1"/>
  <c r="I4" i="3"/>
  <c r="I6" i="3" s="1"/>
  <c r="I7" i="3" s="1"/>
  <c r="H4" i="3"/>
  <c r="H6" i="3" s="1"/>
  <c r="H7" i="3" s="1"/>
  <c r="G4" i="3"/>
  <c r="G6" i="3" s="1"/>
  <c r="G7" i="3" s="1"/>
  <c r="F4" i="3"/>
  <c r="F6" i="3" s="1"/>
  <c r="F7" i="3" s="1"/>
  <c r="E4" i="3"/>
  <c r="E6" i="3" s="1"/>
  <c r="E7" i="3" s="1"/>
  <c r="D4" i="3"/>
  <c r="D6" i="3" s="1"/>
  <c r="D7" i="3" s="1"/>
  <c r="AP3" i="3"/>
  <c r="AP4" i="3" s="1"/>
  <c r="AP6" i="3" s="1"/>
  <c r="AP7" i="3" s="1"/>
  <c r="AO3" i="3"/>
  <c r="AL3" i="3"/>
  <c r="AE3" i="3"/>
  <c r="BW21" i="2"/>
  <c r="BV21" i="2"/>
  <c r="BU21" i="2"/>
  <c r="BT21" i="2"/>
  <c r="BS21" i="2"/>
  <c r="BR21" i="2"/>
  <c r="BQ21" i="2"/>
  <c r="BP21" i="2"/>
  <c r="BO21" i="2"/>
  <c r="BN21" i="2"/>
  <c r="BM21" i="2"/>
  <c r="BL21" i="2"/>
  <c r="BK21" i="2"/>
  <c r="BJ21" i="2"/>
  <c r="BI21" i="2"/>
  <c r="BH21" i="2"/>
  <c r="BG21" i="2"/>
  <c r="BF21" i="2"/>
  <c r="BE21" i="2"/>
  <c r="BD21" i="2"/>
  <c r="BC21" i="2"/>
  <c r="BB21" i="2"/>
  <c r="BA21" i="2"/>
  <c r="AZ21" i="2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BW14" i="2"/>
  <c r="BV14" i="2"/>
  <c r="BU14" i="2"/>
  <c r="BT14" i="2"/>
  <c r="BS14" i="2"/>
  <c r="BR14" i="2"/>
  <c r="BQ14" i="2"/>
  <c r="BP14" i="2"/>
  <c r="BO14" i="2"/>
  <c r="BN14" i="2"/>
  <c r="BM14" i="2"/>
  <c r="BL14" i="2"/>
  <c r="BK14" i="2"/>
  <c r="BJ14" i="2"/>
  <c r="BI14" i="2"/>
  <c r="BH14" i="2"/>
  <c r="BG14" i="2"/>
  <c r="BF14" i="2"/>
  <c r="BE14" i="2"/>
  <c r="BD14" i="2"/>
  <c r="BC14" i="2"/>
  <c r="BB14" i="2"/>
  <c r="BA14" i="2"/>
  <c r="AZ14" i="2"/>
  <c r="AY14" i="2"/>
  <c r="AX14" i="2"/>
  <c r="AW14" i="2"/>
  <c r="AV14" i="2"/>
  <c r="AU14" i="2"/>
  <c r="AT14" i="2"/>
  <c r="AS14" i="2"/>
  <c r="AS15" i="2" s="1"/>
  <c r="AR14" i="2"/>
  <c r="AR15" i="2" s="1"/>
  <c r="AQ14" i="2"/>
  <c r="AQ15" i="2" s="1"/>
  <c r="AP14" i="2"/>
  <c r="AP15" i="2" s="1"/>
  <c r="AO14" i="2"/>
  <c r="AO15" i="2" s="1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B15" i="2" s="1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BW13" i="2"/>
  <c r="BV13" i="2"/>
  <c r="BU13" i="2"/>
  <c r="BT13" i="2"/>
  <c r="BS13" i="2"/>
  <c r="BR13" i="2"/>
  <c r="BQ13" i="2"/>
  <c r="BP13" i="2"/>
  <c r="BO13" i="2"/>
  <c r="BN13" i="2"/>
  <c r="BM13" i="2"/>
  <c r="BL13" i="2"/>
  <c r="BK13" i="2"/>
  <c r="BJ13" i="2"/>
  <c r="BI13" i="2"/>
  <c r="BH13" i="2"/>
  <c r="BG13" i="2"/>
  <c r="BF13" i="2"/>
  <c r="BE13" i="2"/>
  <c r="BD13" i="2"/>
  <c r="BC13" i="2"/>
  <c r="BB13" i="2"/>
  <c r="BA13" i="2"/>
  <c r="AZ13" i="2"/>
  <c r="AY13" i="2"/>
  <c r="AX13" i="2"/>
  <c r="AW13" i="2"/>
  <c r="AV13" i="2"/>
  <c r="AU13" i="2"/>
  <c r="AT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BK10" i="2"/>
  <c r="BJ10" i="2"/>
  <c r="BI10" i="2"/>
  <c r="BH10" i="2"/>
  <c r="BG10" i="2"/>
  <c r="BF10" i="2"/>
  <c r="BE10" i="2"/>
  <c r="BD10" i="2"/>
  <c r="BC10" i="2"/>
  <c r="BB10" i="2"/>
  <c r="BA10" i="2"/>
  <c r="AZ10" i="2"/>
  <c r="AY10" i="2"/>
  <c r="AX10" i="2"/>
  <c r="AW10" i="2"/>
  <c r="AV10" i="2"/>
  <c r="AU10" i="2"/>
  <c r="AT10" i="2"/>
  <c r="AS10" i="2"/>
  <c r="AS11" i="2" s="1"/>
  <c r="AR10" i="2"/>
  <c r="AR11" i="2" s="1"/>
  <c r="AQ10" i="2"/>
  <c r="AQ11" i="2" s="1"/>
  <c r="AP10" i="2"/>
  <c r="AP11" i="2" s="1"/>
  <c r="AO10" i="2"/>
  <c r="AO11" i="2" s="1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BK9" i="2"/>
  <c r="BK11" i="2" s="1"/>
  <c r="BJ9" i="2"/>
  <c r="BJ11" i="2" s="1"/>
  <c r="BI9" i="2"/>
  <c r="BI11" i="2" s="1"/>
  <c r="BH9" i="2"/>
  <c r="BH11" i="2" s="1"/>
  <c r="BG9" i="2"/>
  <c r="BG11" i="2" s="1"/>
  <c r="BF9" i="2"/>
  <c r="BF11" i="2" s="1"/>
  <c r="BE9" i="2"/>
  <c r="BE11" i="2" s="1"/>
  <c r="BD9" i="2"/>
  <c r="BD11" i="2" s="1"/>
  <c r="BC9" i="2"/>
  <c r="BC11" i="2" s="1"/>
  <c r="BB9" i="2"/>
  <c r="BB11" i="2" s="1"/>
  <c r="BA9" i="2"/>
  <c r="BA11" i="2" s="1"/>
  <c r="AZ9" i="2"/>
  <c r="AZ11" i="2" s="1"/>
  <c r="AY9" i="2"/>
  <c r="AY11" i="2" s="1"/>
  <c r="AX9" i="2"/>
  <c r="AX11" i="2" s="1"/>
  <c r="AW9" i="2"/>
  <c r="AW11" i="2" s="1"/>
  <c r="AV9" i="2"/>
  <c r="AV11" i="2" s="1"/>
  <c r="AU9" i="2"/>
  <c r="AU11" i="2" s="1"/>
  <c r="AT9" i="2"/>
  <c r="AT11" i="2" s="1"/>
  <c r="AN9" i="2"/>
  <c r="AN11" i="2" s="1"/>
  <c r="AM9" i="2"/>
  <c r="AM11" i="2" s="1"/>
  <c r="AL9" i="2"/>
  <c r="AL11" i="2" s="1"/>
  <c r="AK9" i="2"/>
  <c r="AK11" i="2" s="1"/>
  <c r="AJ9" i="2"/>
  <c r="AJ11" i="2" s="1"/>
  <c r="AI9" i="2"/>
  <c r="AI11" i="2" s="1"/>
  <c r="AH9" i="2"/>
  <c r="AH11" i="2" s="1"/>
  <c r="AG9" i="2"/>
  <c r="AG11" i="2" s="1"/>
  <c r="AF9" i="2"/>
  <c r="AF11" i="2" s="1"/>
  <c r="AE9" i="2"/>
  <c r="AE11" i="2" s="1"/>
  <c r="AD9" i="2"/>
  <c r="AD11" i="2" s="1"/>
  <c r="AC9" i="2"/>
  <c r="AC11" i="2" s="1"/>
  <c r="AB9" i="2"/>
  <c r="AB11" i="2" s="1"/>
  <c r="AA9" i="2"/>
  <c r="AA11" i="2" s="1"/>
  <c r="Z9" i="2"/>
  <c r="Z11" i="2" s="1"/>
  <c r="Y9" i="2"/>
  <c r="Y11" i="2" s="1"/>
  <c r="X9" i="2"/>
  <c r="X11" i="2" s="1"/>
  <c r="W9" i="2"/>
  <c r="W11" i="2" s="1"/>
  <c r="V9" i="2"/>
  <c r="V11" i="2" s="1"/>
  <c r="U9" i="2"/>
  <c r="U11" i="2" s="1"/>
  <c r="T9" i="2"/>
  <c r="T11" i="2" s="1"/>
  <c r="S9" i="2"/>
  <c r="S11" i="2" s="1"/>
  <c r="R9" i="2"/>
  <c r="R11" i="2" s="1"/>
  <c r="Q9" i="2"/>
  <c r="Q11" i="2" s="1"/>
  <c r="P9" i="2"/>
  <c r="P11" i="2" s="1"/>
  <c r="O9" i="2"/>
  <c r="O11" i="2" s="1"/>
  <c r="N9" i="2"/>
  <c r="N11" i="2" s="1"/>
  <c r="M9" i="2"/>
  <c r="M11" i="2" s="1"/>
  <c r="L9" i="2"/>
  <c r="L11" i="2" s="1"/>
  <c r="K9" i="2"/>
  <c r="K11" i="2" s="1"/>
  <c r="J9" i="2"/>
  <c r="J11" i="2" s="1"/>
  <c r="I9" i="2"/>
  <c r="I11" i="2" s="1"/>
  <c r="H9" i="2"/>
  <c r="H11" i="2" s="1"/>
  <c r="G9" i="2"/>
  <c r="G11" i="2" s="1"/>
  <c r="F9" i="2"/>
  <c r="F11" i="2" s="1"/>
  <c r="E9" i="2"/>
  <c r="E11" i="2" s="1"/>
  <c r="BW4" i="2"/>
  <c r="BW6" i="2" s="1"/>
  <c r="BW7" i="2" s="1"/>
  <c r="BV4" i="2"/>
  <c r="BV6" i="2" s="1"/>
  <c r="BV7" i="2" s="1"/>
  <c r="BU4" i="2"/>
  <c r="BU6" i="2" s="1"/>
  <c r="BU7" i="2" s="1"/>
  <c r="BT4" i="2"/>
  <c r="BT6" i="2" s="1"/>
  <c r="BT7" i="2" s="1"/>
  <c r="BS4" i="2"/>
  <c r="BS6" i="2" s="1"/>
  <c r="BS7" i="2" s="1"/>
  <c r="BR4" i="2"/>
  <c r="BR6" i="2" s="1"/>
  <c r="BR7" i="2" s="1"/>
  <c r="BQ4" i="2"/>
  <c r="BQ6" i="2" s="1"/>
  <c r="BQ7" i="2" s="1"/>
  <c r="BP4" i="2"/>
  <c r="BP6" i="2" s="1"/>
  <c r="BP7" i="2" s="1"/>
  <c r="BO4" i="2"/>
  <c r="BO6" i="2" s="1"/>
  <c r="BO7" i="2" s="1"/>
  <c r="BN4" i="2"/>
  <c r="BN6" i="2" s="1"/>
  <c r="BN7" i="2" s="1"/>
  <c r="BM4" i="2"/>
  <c r="BM6" i="2" s="1"/>
  <c r="BM7" i="2" s="1"/>
  <c r="BL4" i="2"/>
  <c r="BL6" i="2" s="1"/>
  <c r="BL7" i="2" s="1"/>
  <c r="BK4" i="2"/>
  <c r="BK6" i="2" s="1"/>
  <c r="BK7" i="2" s="1"/>
  <c r="BJ4" i="2"/>
  <c r="BJ6" i="2" s="1"/>
  <c r="BJ7" i="2" s="1"/>
  <c r="BI4" i="2"/>
  <c r="BI6" i="2" s="1"/>
  <c r="BI7" i="2" s="1"/>
  <c r="BH4" i="2"/>
  <c r="BH6" i="2" s="1"/>
  <c r="BH7" i="2" s="1"/>
  <c r="BG4" i="2"/>
  <c r="BG6" i="2" s="1"/>
  <c r="BG7" i="2" s="1"/>
  <c r="BF4" i="2"/>
  <c r="BF6" i="2" s="1"/>
  <c r="BF7" i="2" s="1"/>
  <c r="BE4" i="2"/>
  <c r="BE6" i="2" s="1"/>
  <c r="BE7" i="2" s="1"/>
  <c r="BD4" i="2"/>
  <c r="BD6" i="2" s="1"/>
  <c r="BD7" i="2" s="1"/>
  <c r="AZ4" i="2"/>
  <c r="AZ6" i="2" s="1"/>
  <c r="AZ7" i="2" s="1"/>
  <c r="AN4" i="2"/>
  <c r="AN6" i="2" s="1"/>
  <c r="AN7" i="2" s="1"/>
  <c r="AM4" i="2"/>
  <c r="AM6" i="2" s="1"/>
  <c r="AM7" i="2" s="1"/>
  <c r="AL4" i="2"/>
  <c r="AL6" i="2" s="1"/>
  <c r="AL7" i="2" s="1"/>
  <c r="AK4" i="2"/>
  <c r="AK6" i="2" s="1"/>
  <c r="AK7" i="2" s="1"/>
  <c r="AJ4" i="2"/>
  <c r="AJ6" i="2" s="1"/>
  <c r="AJ7" i="2" s="1"/>
  <c r="AI4" i="2"/>
  <c r="AI6" i="2" s="1"/>
  <c r="AI7" i="2" s="1"/>
  <c r="AH4" i="2"/>
  <c r="AH6" i="2" s="1"/>
  <c r="AH7" i="2" s="1"/>
  <c r="AG4" i="2"/>
  <c r="AG6" i="2" s="1"/>
  <c r="AG7" i="2" s="1"/>
  <c r="AF4" i="2"/>
  <c r="AF6" i="2" s="1"/>
  <c r="AF7" i="2" s="1"/>
  <c r="AE4" i="2"/>
  <c r="AE6" i="2" s="1"/>
  <c r="AE7" i="2" s="1"/>
  <c r="AD4" i="2"/>
  <c r="AD6" i="2" s="1"/>
  <c r="AD7" i="2" s="1"/>
  <c r="AC4" i="2"/>
  <c r="AC6" i="2" s="1"/>
  <c r="AC7" i="2" s="1"/>
  <c r="AB4" i="2"/>
  <c r="AB6" i="2" s="1"/>
  <c r="AB7" i="2" s="1"/>
  <c r="AA4" i="2"/>
  <c r="AA6" i="2" s="1"/>
  <c r="AA7" i="2" s="1"/>
  <c r="Z4" i="2"/>
  <c r="Z6" i="2" s="1"/>
  <c r="Z7" i="2" s="1"/>
  <c r="Y4" i="2"/>
  <c r="Y6" i="2" s="1"/>
  <c r="Y7" i="2" s="1"/>
  <c r="X4" i="2"/>
  <c r="X6" i="2" s="1"/>
  <c r="X7" i="2" s="1"/>
  <c r="W4" i="2"/>
  <c r="W6" i="2" s="1"/>
  <c r="W7" i="2" s="1"/>
  <c r="V4" i="2"/>
  <c r="V6" i="2" s="1"/>
  <c r="V7" i="2" s="1"/>
  <c r="U4" i="2"/>
  <c r="U6" i="2" s="1"/>
  <c r="U7" i="2" s="1"/>
  <c r="T4" i="2"/>
  <c r="T6" i="2" s="1"/>
  <c r="T7" i="2" s="1"/>
  <c r="S4" i="2"/>
  <c r="S6" i="2" s="1"/>
  <c r="S7" i="2" s="1"/>
  <c r="R4" i="2"/>
  <c r="R6" i="2" s="1"/>
  <c r="R7" i="2" s="1"/>
  <c r="Q4" i="2"/>
  <c r="Q6" i="2" s="1"/>
  <c r="Q7" i="2" s="1"/>
  <c r="P4" i="2"/>
  <c r="P6" i="2" s="1"/>
  <c r="P7" i="2" s="1"/>
  <c r="O4" i="2"/>
  <c r="O6" i="2" s="1"/>
  <c r="O7" i="2" s="1"/>
  <c r="N4" i="2"/>
  <c r="N6" i="2" s="1"/>
  <c r="N7" i="2" s="1"/>
  <c r="M4" i="2"/>
  <c r="M6" i="2" s="1"/>
  <c r="M7" i="2" s="1"/>
  <c r="L4" i="2"/>
  <c r="L6" i="2" s="1"/>
  <c r="L7" i="2" s="1"/>
  <c r="K4" i="2"/>
  <c r="K6" i="2" s="1"/>
  <c r="K7" i="2" s="1"/>
  <c r="J4" i="2"/>
  <c r="J6" i="2" s="1"/>
  <c r="J7" i="2" s="1"/>
  <c r="BC3" i="2"/>
  <c r="BC4" i="2" s="1"/>
  <c r="BC6" i="2" s="1"/>
  <c r="BC7" i="2" s="1"/>
  <c r="BB3" i="2"/>
  <c r="AY3" i="2"/>
  <c r="AR3" i="2"/>
  <c r="I3" i="2"/>
  <c r="I4" i="2" s="1"/>
  <c r="I6" i="2" s="1"/>
  <c r="I7" i="2" s="1"/>
  <c r="H3" i="2"/>
  <c r="H4" i="2" s="1"/>
  <c r="H6" i="2" s="1"/>
  <c r="H7" i="2" s="1"/>
  <c r="G3" i="2"/>
  <c r="G4" i="2" s="1"/>
  <c r="G6" i="2" s="1"/>
  <c r="G7" i="2" s="1"/>
  <c r="F3" i="2"/>
  <c r="F4" i="2" s="1"/>
  <c r="F6" i="2" s="1"/>
  <c r="F7" i="2" s="1"/>
  <c r="E3" i="2"/>
  <c r="E4" i="2" s="1"/>
  <c r="E6" i="2" s="1"/>
  <c r="E7" i="2" s="1"/>
  <c r="CI21" i="1"/>
  <c r="CH21" i="1"/>
  <c r="CG21" i="1"/>
  <c r="CF21" i="1"/>
  <c r="CE21" i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CI14" i="1"/>
  <c r="CH14" i="1"/>
  <c r="CG14" i="1"/>
  <c r="CF14" i="1"/>
  <c r="CE14" i="1"/>
  <c r="CD14" i="1"/>
  <c r="CC14" i="1"/>
  <c r="CB14" i="1"/>
  <c r="CA14" i="1"/>
  <c r="BZ14" i="1"/>
  <c r="BY14" i="1"/>
  <c r="BX14" i="1"/>
  <c r="BW14" i="1"/>
  <c r="BV14" i="1"/>
  <c r="BU14" i="1"/>
  <c r="BT14" i="1"/>
  <c r="BS14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E15" i="1" s="1"/>
  <c r="BD14" i="1"/>
  <c r="BD15" i="1" s="1"/>
  <c r="BC14" i="1"/>
  <c r="BC15" i="1" s="1"/>
  <c r="BB14" i="1"/>
  <c r="BB15" i="1" s="1"/>
  <c r="BA14" i="1"/>
  <c r="BA15" i="1" s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N15" i="1" s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CI13" i="1"/>
  <c r="CH13" i="1"/>
  <c r="CG13" i="1"/>
  <c r="CF13" i="1"/>
  <c r="CE13" i="1"/>
  <c r="CD13" i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E11" i="1" s="1"/>
  <c r="BD10" i="1"/>
  <c r="BD11" i="1" s="1"/>
  <c r="BC10" i="1"/>
  <c r="BC11" i="1" s="1"/>
  <c r="BB10" i="1"/>
  <c r="BB11" i="1" s="1"/>
  <c r="BA10" i="1"/>
  <c r="BA11" i="1" s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BW9" i="1"/>
  <c r="BW11" i="1" s="1"/>
  <c r="BV9" i="1"/>
  <c r="BV11" i="1" s="1"/>
  <c r="BU9" i="1"/>
  <c r="BU11" i="1" s="1"/>
  <c r="BT9" i="1"/>
  <c r="BT11" i="1" s="1"/>
  <c r="BS9" i="1"/>
  <c r="BS11" i="1" s="1"/>
  <c r="BR9" i="1"/>
  <c r="BR11" i="1" s="1"/>
  <c r="BQ9" i="1"/>
  <c r="BQ11" i="1" s="1"/>
  <c r="BP9" i="1"/>
  <c r="BP11" i="1" s="1"/>
  <c r="BO9" i="1"/>
  <c r="BO11" i="1" s="1"/>
  <c r="BN9" i="1"/>
  <c r="BN11" i="1" s="1"/>
  <c r="BM9" i="1"/>
  <c r="BM11" i="1" s="1"/>
  <c r="BL9" i="1"/>
  <c r="BL11" i="1" s="1"/>
  <c r="BK9" i="1"/>
  <c r="BK11" i="1" s="1"/>
  <c r="BJ9" i="1"/>
  <c r="BJ11" i="1" s="1"/>
  <c r="BI9" i="1"/>
  <c r="BI11" i="1" s="1"/>
  <c r="BH9" i="1"/>
  <c r="BH11" i="1" s="1"/>
  <c r="BG9" i="1"/>
  <c r="BG11" i="1" s="1"/>
  <c r="BF9" i="1"/>
  <c r="BF11" i="1" s="1"/>
  <c r="AZ9" i="1"/>
  <c r="AZ11" i="1" s="1"/>
  <c r="AY9" i="1"/>
  <c r="AY11" i="1" s="1"/>
  <c r="AX9" i="1"/>
  <c r="AX11" i="1" s="1"/>
  <c r="AW9" i="1"/>
  <c r="AW11" i="1" s="1"/>
  <c r="AV9" i="1"/>
  <c r="AV11" i="1" s="1"/>
  <c r="AU9" i="1"/>
  <c r="AU11" i="1" s="1"/>
  <c r="AT9" i="1"/>
  <c r="AT11" i="1" s="1"/>
  <c r="AS9" i="1"/>
  <c r="AS11" i="1" s="1"/>
  <c r="AR9" i="1"/>
  <c r="AR11" i="1" s="1"/>
  <c r="AQ9" i="1"/>
  <c r="AQ11" i="1" s="1"/>
  <c r="AP9" i="1"/>
  <c r="AP11" i="1" s="1"/>
  <c r="AO9" i="1"/>
  <c r="AO11" i="1" s="1"/>
  <c r="AN9" i="1"/>
  <c r="AN11" i="1" s="1"/>
  <c r="AM9" i="1"/>
  <c r="AM11" i="1" s="1"/>
  <c r="AL9" i="1"/>
  <c r="AL11" i="1" s="1"/>
  <c r="AK9" i="1"/>
  <c r="AK11" i="1" s="1"/>
  <c r="AJ9" i="1"/>
  <c r="AJ11" i="1" s="1"/>
  <c r="AI9" i="1"/>
  <c r="AI11" i="1" s="1"/>
  <c r="AH9" i="1"/>
  <c r="AH11" i="1" s="1"/>
  <c r="AG9" i="1"/>
  <c r="AG11" i="1" s="1"/>
  <c r="AF9" i="1"/>
  <c r="AF11" i="1" s="1"/>
  <c r="AE9" i="1"/>
  <c r="AE11" i="1" s="1"/>
  <c r="AD9" i="1"/>
  <c r="AD11" i="1" s="1"/>
  <c r="AC9" i="1"/>
  <c r="AC11" i="1" s="1"/>
  <c r="AB9" i="1"/>
  <c r="AB11" i="1" s="1"/>
  <c r="AA9" i="1"/>
  <c r="AA11" i="1" s="1"/>
  <c r="Z9" i="1"/>
  <c r="Z11" i="1" s="1"/>
  <c r="Y9" i="1"/>
  <c r="Y11" i="1" s="1"/>
  <c r="X9" i="1"/>
  <c r="X11" i="1" s="1"/>
  <c r="W9" i="1"/>
  <c r="W11" i="1" s="1"/>
  <c r="V9" i="1"/>
  <c r="V11" i="1" s="1"/>
  <c r="U9" i="1"/>
  <c r="U11" i="1" s="1"/>
  <c r="T9" i="1"/>
  <c r="T11" i="1" s="1"/>
  <c r="S9" i="1"/>
  <c r="S11" i="1" s="1"/>
  <c r="R9" i="1"/>
  <c r="R11" i="1" s="1"/>
  <c r="Q9" i="1"/>
  <c r="Q11" i="1" s="1"/>
  <c r="P9" i="1"/>
  <c r="P11" i="1" s="1"/>
  <c r="O9" i="1"/>
  <c r="O11" i="1" s="1"/>
  <c r="N9" i="1"/>
  <c r="N11" i="1" s="1"/>
  <c r="M9" i="1"/>
  <c r="M11" i="1" s="1"/>
  <c r="L9" i="1"/>
  <c r="L11" i="1" s="1"/>
  <c r="K9" i="1"/>
  <c r="K11" i="1" s="1"/>
  <c r="J9" i="1"/>
  <c r="J11" i="1" s="1"/>
  <c r="I9" i="1"/>
  <c r="I11" i="1" s="1"/>
  <c r="H9" i="1"/>
  <c r="H11" i="1" s="1"/>
  <c r="CI4" i="1"/>
  <c r="CI6" i="1" s="1"/>
  <c r="CI7" i="1" s="1"/>
  <c r="CH4" i="1"/>
  <c r="CH6" i="1" s="1"/>
  <c r="CH7" i="1" s="1"/>
  <c r="CG4" i="1"/>
  <c r="CG6" i="1" s="1"/>
  <c r="CG7" i="1" s="1"/>
  <c r="CF4" i="1"/>
  <c r="CF6" i="1" s="1"/>
  <c r="CF7" i="1" s="1"/>
  <c r="CE4" i="1"/>
  <c r="CE6" i="1" s="1"/>
  <c r="CE7" i="1" s="1"/>
  <c r="CD4" i="1"/>
  <c r="CD6" i="1" s="1"/>
  <c r="CD7" i="1" s="1"/>
  <c r="CC4" i="1"/>
  <c r="CC6" i="1" s="1"/>
  <c r="CC7" i="1" s="1"/>
  <c r="CB4" i="1"/>
  <c r="CB6" i="1" s="1"/>
  <c r="CB7" i="1" s="1"/>
  <c r="CA4" i="1"/>
  <c r="CA6" i="1" s="1"/>
  <c r="CA7" i="1" s="1"/>
  <c r="BZ4" i="1"/>
  <c r="BZ6" i="1" s="1"/>
  <c r="BZ7" i="1" s="1"/>
  <c r="BY4" i="1"/>
  <c r="BY6" i="1" s="1"/>
  <c r="BY7" i="1" s="1"/>
  <c r="BX4" i="1"/>
  <c r="BX6" i="1" s="1"/>
  <c r="BX7" i="1" s="1"/>
  <c r="BW4" i="1"/>
  <c r="BW6" i="1" s="1"/>
  <c r="BW7" i="1" s="1"/>
  <c r="BV4" i="1"/>
  <c r="BV6" i="1" s="1"/>
  <c r="BV7" i="1" s="1"/>
  <c r="BU4" i="1"/>
  <c r="BU6" i="1" s="1"/>
  <c r="BU7" i="1" s="1"/>
  <c r="BT4" i="1"/>
  <c r="BT6" i="1" s="1"/>
  <c r="BT7" i="1" s="1"/>
  <c r="BS4" i="1"/>
  <c r="BS6" i="1" s="1"/>
  <c r="BS7" i="1" s="1"/>
  <c r="BR4" i="1"/>
  <c r="BR6" i="1" s="1"/>
  <c r="BR7" i="1" s="1"/>
  <c r="BQ4" i="1"/>
  <c r="BQ6" i="1" s="1"/>
  <c r="BQ7" i="1" s="1"/>
  <c r="BP4" i="1"/>
  <c r="BP6" i="1" s="1"/>
  <c r="BP7" i="1" s="1"/>
  <c r="BL4" i="1"/>
  <c r="BL6" i="1" s="1"/>
  <c r="BL7" i="1" s="1"/>
  <c r="AZ4" i="1"/>
  <c r="AZ6" i="1" s="1"/>
  <c r="AZ7" i="1" s="1"/>
  <c r="AY4" i="1"/>
  <c r="AY6" i="1" s="1"/>
  <c r="AY7" i="1" s="1"/>
  <c r="AX4" i="1"/>
  <c r="AX6" i="1" s="1"/>
  <c r="AX7" i="1" s="1"/>
  <c r="AW4" i="1"/>
  <c r="AW6" i="1" s="1"/>
  <c r="AW7" i="1" s="1"/>
  <c r="AV4" i="1"/>
  <c r="AV6" i="1" s="1"/>
  <c r="AV7" i="1" s="1"/>
  <c r="AU4" i="1"/>
  <c r="AU6" i="1" s="1"/>
  <c r="AU7" i="1" s="1"/>
  <c r="AT4" i="1"/>
  <c r="AT6" i="1" s="1"/>
  <c r="AT7" i="1" s="1"/>
  <c r="AS4" i="1"/>
  <c r="AS6" i="1" s="1"/>
  <c r="AS7" i="1" s="1"/>
  <c r="AR4" i="1"/>
  <c r="AR6" i="1" s="1"/>
  <c r="AR7" i="1" s="1"/>
  <c r="AQ4" i="1"/>
  <c r="AQ6" i="1" s="1"/>
  <c r="AQ7" i="1" s="1"/>
  <c r="AP4" i="1"/>
  <c r="AP6" i="1" s="1"/>
  <c r="AP7" i="1" s="1"/>
  <c r="AO4" i="1"/>
  <c r="AO6" i="1" s="1"/>
  <c r="AO7" i="1" s="1"/>
  <c r="AN4" i="1"/>
  <c r="AN6" i="1" s="1"/>
  <c r="AN7" i="1" s="1"/>
  <c r="AM4" i="1"/>
  <c r="AM6" i="1" s="1"/>
  <c r="AM7" i="1" s="1"/>
  <c r="AL4" i="1"/>
  <c r="AL6" i="1" s="1"/>
  <c r="AL7" i="1" s="1"/>
  <c r="AK4" i="1"/>
  <c r="AK6" i="1" s="1"/>
  <c r="AK7" i="1" s="1"/>
  <c r="AJ4" i="1"/>
  <c r="AJ6" i="1" s="1"/>
  <c r="AJ7" i="1" s="1"/>
  <c r="AI4" i="1"/>
  <c r="AI6" i="1" s="1"/>
  <c r="AI7" i="1" s="1"/>
  <c r="AH4" i="1"/>
  <c r="AH6" i="1" s="1"/>
  <c r="AH7" i="1" s="1"/>
  <c r="AG4" i="1"/>
  <c r="AG6" i="1" s="1"/>
  <c r="AG7" i="1" s="1"/>
  <c r="AF4" i="1"/>
  <c r="AF6" i="1" s="1"/>
  <c r="AF7" i="1" s="1"/>
  <c r="AE4" i="1"/>
  <c r="AE6" i="1" s="1"/>
  <c r="AE7" i="1" s="1"/>
  <c r="AD4" i="1"/>
  <c r="AD6" i="1" s="1"/>
  <c r="AD7" i="1" s="1"/>
  <c r="AC4" i="1"/>
  <c r="AC6" i="1" s="1"/>
  <c r="AC7" i="1" s="1"/>
  <c r="AB4" i="1"/>
  <c r="AB6" i="1" s="1"/>
  <c r="AB7" i="1" s="1"/>
  <c r="AA4" i="1"/>
  <c r="AA6" i="1" s="1"/>
  <c r="AA7" i="1" s="1"/>
  <c r="Z4" i="1"/>
  <c r="Z6" i="1" s="1"/>
  <c r="Z7" i="1" s="1"/>
  <c r="Y4" i="1"/>
  <c r="Y6" i="1" s="1"/>
  <c r="Y7" i="1" s="1"/>
  <c r="X4" i="1"/>
  <c r="X6" i="1" s="1"/>
  <c r="X7" i="1" s="1"/>
  <c r="W4" i="1"/>
  <c r="W6" i="1" s="1"/>
  <c r="W7" i="1" s="1"/>
  <c r="V4" i="1"/>
  <c r="V6" i="1" s="1"/>
  <c r="V7" i="1" s="1"/>
  <c r="BO3" i="1"/>
  <c r="BO4" i="1" s="1"/>
  <c r="BO6" i="1" s="1"/>
  <c r="BO7" i="1" s="1"/>
  <c r="BN3" i="1"/>
  <c r="BK3" i="1"/>
  <c r="BD3" i="1"/>
  <c r="U3" i="1"/>
  <c r="U4" i="1" s="1"/>
  <c r="U6" i="1" s="1"/>
  <c r="U7" i="1" s="1"/>
  <c r="T3" i="1"/>
  <c r="T4" i="1" s="1"/>
  <c r="T6" i="1" s="1"/>
  <c r="T7" i="1" s="1"/>
  <c r="S4" i="1"/>
  <c r="S6" i="1" s="1"/>
  <c r="S7" i="1" s="1"/>
  <c r="R3" i="1"/>
  <c r="R4" i="1" s="1"/>
  <c r="R6" i="1" s="1"/>
  <c r="R7" i="1" s="1"/>
  <c r="Q3" i="1"/>
  <c r="Q4" i="1" s="1"/>
  <c r="Q6" i="1" s="1"/>
  <c r="Q7" i="1" s="1"/>
  <c r="P3" i="1"/>
  <c r="P4" i="1" s="1"/>
  <c r="P6" i="1" s="1"/>
  <c r="P7" i="1" s="1"/>
  <c r="O3" i="1"/>
  <c r="O4" i="1" s="1"/>
  <c r="O6" i="1" s="1"/>
  <c r="O7" i="1" s="1"/>
  <c r="N3" i="1"/>
  <c r="N4" i="1" s="1"/>
  <c r="N6" i="1" s="1"/>
  <c r="N7" i="1" s="1"/>
  <c r="M3" i="1"/>
  <c r="M4" i="1" s="1"/>
  <c r="M6" i="1" s="1"/>
  <c r="M7" i="1" s="1"/>
  <c r="L3" i="1"/>
  <c r="L4" i="1" s="1"/>
  <c r="L6" i="1" s="1"/>
  <c r="L7" i="1" s="1"/>
  <c r="K3" i="1"/>
  <c r="K4" i="1" s="1"/>
  <c r="K6" i="1" s="1"/>
  <c r="K7" i="1" s="1"/>
  <c r="J3" i="1"/>
  <c r="J4" i="1" s="1"/>
  <c r="J6" i="1" s="1"/>
  <c r="J7" i="1" s="1"/>
  <c r="I3" i="1"/>
  <c r="I4" i="1" s="1"/>
  <c r="I6" i="1" s="1"/>
  <c r="I7" i="1" s="1"/>
  <c r="H3" i="1"/>
  <c r="H4" i="1" s="1"/>
  <c r="H6" i="1" s="1"/>
  <c r="H7" i="1" s="1"/>
  <c r="BD4" i="10" l="1"/>
  <c r="BD6" i="10" s="1"/>
  <c r="BD7" i="10" s="1"/>
  <c r="DC11" i="10"/>
  <c r="AB11" i="10"/>
  <c r="AN11" i="10"/>
  <c r="AZ11" i="10"/>
  <c r="BL11" i="10"/>
  <c r="BX11" i="10"/>
  <c r="CJ11" i="10"/>
  <c r="N11" i="10"/>
  <c r="AN4" i="10"/>
  <c r="AN6" i="10" s="1"/>
  <c r="AN7" i="10" s="1"/>
  <c r="CP11" i="10"/>
  <c r="DB11" i="10"/>
  <c r="CT11" i="10"/>
  <c r="DF11" i="10"/>
  <c r="V11" i="10"/>
  <c r="AH11" i="10"/>
  <c r="AT11" i="10"/>
  <c r="BF11" i="10"/>
  <c r="BR11" i="10"/>
  <c r="CD11" i="10"/>
  <c r="CW11" i="10"/>
  <c r="P11" i="10"/>
  <c r="Q11" i="10"/>
  <c r="AC11" i="10"/>
  <c r="AO11" i="10"/>
  <c r="BA11" i="10"/>
  <c r="BM11" i="10"/>
  <c r="BY11" i="10"/>
  <c r="V4" i="10"/>
  <c r="V6" i="10" s="1"/>
  <c r="V7" i="10" s="1"/>
  <c r="L4" i="10"/>
  <c r="L6" i="10" s="1"/>
  <c r="L7" i="10" s="1"/>
  <c r="L17" i="10" s="1"/>
  <c r="S11" i="10"/>
  <c r="AE11" i="10"/>
  <c r="AQ11" i="10"/>
  <c r="BC11" i="10"/>
  <c r="BO11" i="10"/>
  <c r="CY11" i="10"/>
  <c r="K4" i="10"/>
  <c r="K6" i="10" s="1"/>
  <c r="K7" i="10" s="1"/>
  <c r="K17" i="10" s="1"/>
  <c r="Y4" i="10"/>
  <c r="Y6" i="10" s="1"/>
  <c r="Y7" i="10" s="1"/>
  <c r="AC4" i="10"/>
  <c r="AC6" i="10" s="1"/>
  <c r="AC7" i="10" s="1"/>
  <c r="AO4" i="10"/>
  <c r="AO6" i="10" s="1"/>
  <c r="AO7" i="10" s="1"/>
  <c r="BA4" i="10"/>
  <c r="BA6" i="10" s="1"/>
  <c r="BA7" i="10" s="1"/>
  <c r="DA11" i="10"/>
  <c r="CZ11" i="10"/>
  <c r="AR4" i="10"/>
  <c r="AR6" i="10" s="1"/>
  <c r="AR7" i="10" s="1"/>
  <c r="CR11" i="10"/>
  <c r="DD11" i="10"/>
  <c r="T4" i="10"/>
  <c r="T6" i="10" s="1"/>
  <c r="T7" i="10" s="1"/>
  <c r="CS11" i="10"/>
  <c r="DE11" i="10"/>
  <c r="U11" i="10"/>
  <c r="AG11" i="10"/>
  <c r="AS11" i="10"/>
  <c r="BE11" i="10"/>
  <c r="BQ11" i="10"/>
  <c r="CC11" i="10"/>
  <c r="W4" i="10"/>
  <c r="W6" i="10" s="1"/>
  <c r="W7" i="10" s="1"/>
  <c r="CV11" i="10"/>
  <c r="M4" i="10"/>
  <c r="M6" i="10" s="1"/>
  <c r="M7" i="10" s="1"/>
  <c r="AK4" i="10"/>
  <c r="AK6" i="10" s="1"/>
  <c r="AK7" i="10" s="1"/>
  <c r="AW4" i="10"/>
  <c r="AW6" i="10" s="1"/>
  <c r="AW7" i="10" s="1"/>
  <c r="X11" i="10"/>
  <c r="AJ11" i="10"/>
  <c r="AV11" i="10"/>
  <c r="BH11" i="10"/>
  <c r="BT11" i="10"/>
  <c r="CF11" i="10"/>
  <c r="O11" i="10"/>
  <c r="Z4" i="10"/>
  <c r="Z6" i="10" s="1"/>
  <c r="Z7" i="10" s="1"/>
  <c r="AL4" i="10"/>
  <c r="AL6" i="10" s="1"/>
  <c r="AL7" i="10" s="1"/>
  <c r="AX4" i="10"/>
  <c r="AX6" i="10" s="1"/>
  <c r="AX7" i="10" s="1"/>
  <c r="CX11" i="10"/>
  <c r="R4" i="10"/>
  <c r="R6" i="10" s="1"/>
  <c r="R7" i="10" s="1"/>
  <c r="AD4" i="10"/>
  <c r="AD6" i="10" s="1"/>
  <c r="AD7" i="10" s="1"/>
  <c r="AP4" i="10"/>
  <c r="AP6" i="10" s="1"/>
  <c r="AP7" i="10" s="1"/>
  <c r="BB4" i="10"/>
  <c r="BB6" i="10" s="1"/>
  <c r="BB7" i="10" s="1"/>
  <c r="S4" i="10"/>
  <c r="S6" i="10" s="1"/>
  <c r="S7" i="10" s="1"/>
  <c r="AE4" i="10"/>
  <c r="AE6" i="10" s="1"/>
  <c r="AE7" i="10" s="1"/>
  <c r="AQ4" i="10"/>
  <c r="AQ6" i="10" s="1"/>
  <c r="AQ7" i="10" s="1"/>
  <c r="BC4" i="10"/>
  <c r="BC6" i="10" s="1"/>
  <c r="BC7" i="10" s="1"/>
  <c r="R11" i="10"/>
  <c r="AD11" i="10"/>
  <c r="AP11" i="10"/>
  <c r="BB11" i="10"/>
  <c r="BN11" i="10"/>
  <c r="BZ11" i="10"/>
  <c r="AF4" i="10"/>
  <c r="AF6" i="10" s="1"/>
  <c r="AF7" i="10" s="1"/>
  <c r="CA11" i="10"/>
  <c r="U4" i="10"/>
  <c r="U6" i="10" s="1"/>
  <c r="U7" i="10" s="1"/>
  <c r="AG4" i="10"/>
  <c r="AG6" i="10" s="1"/>
  <c r="AG7" i="10" s="1"/>
  <c r="AS4" i="10"/>
  <c r="AS6" i="10" s="1"/>
  <c r="AS7" i="10" s="1"/>
  <c r="T11" i="10"/>
  <c r="AF11" i="10"/>
  <c r="AR11" i="10"/>
  <c r="BD11" i="10"/>
  <c r="BP11" i="10"/>
  <c r="CB11" i="10"/>
  <c r="AH4" i="10"/>
  <c r="AH6" i="10" s="1"/>
  <c r="AH7" i="10" s="1"/>
  <c r="AT4" i="10"/>
  <c r="AT6" i="10" s="1"/>
  <c r="AT7" i="10" s="1"/>
  <c r="AI4" i="10"/>
  <c r="AI6" i="10" s="1"/>
  <c r="AI7" i="10" s="1"/>
  <c r="AU4" i="10"/>
  <c r="AU6" i="10" s="1"/>
  <c r="AU7" i="10" s="1"/>
  <c r="X4" i="10"/>
  <c r="X6" i="10" s="1"/>
  <c r="X7" i="10" s="1"/>
  <c r="AJ4" i="10"/>
  <c r="AJ6" i="10" s="1"/>
  <c r="AJ7" i="10" s="1"/>
  <c r="AV4" i="10"/>
  <c r="AV6" i="10" s="1"/>
  <c r="AV7" i="10" s="1"/>
  <c r="M15" i="10"/>
  <c r="N4" i="10"/>
  <c r="N6" i="10" s="1"/>
  <c r="N7" i="10" s="1"/>
  <c r="N15" i="10"/>
  <c r="Q4" i="10"/>
  <c r="Q6" i="10" s="1"/>
  <c r="Q7" i="10" s="1"/>
  <c r="O4" i="10"/>
  <c r="O6" i="10" s="1"/>
  <c r="O7" i="10" s="1"/>
  <c r="P4" i="10"/>
  <c r="P6" i="10" s="1"/>
  <c r="P7" i="10" s="1"/>
  <c r="O15" i="10"/>
  <c r="AB4" i="10"/>
  <c r="AB6" i="10" s="1"/>
  <c r="AB7" i="10" s="1"/>
  <c r="P15" i="10"/>
  <c r="CN4" i="10"/>
  <c r="CN6" i="10" s="1"/>
  <c r="CN7" i="10" s="1"/>
  <c r="CN17" i="10" s="1"/>
  <c r="CM4" i="10"/>
  <c r="CM6" i="10" s="1"/>
  <c r="CM7" i="10" s="1"/>
  <c r="CM17" i="10" s="1"/>
  <c r="CL4" i="10"/>
  <c r="CL6" i="10" s="1"/>
  <c r="CL7" i="10" s="1"/>
  <c r="CL17" i="10" s="1"/>
  <c r="CK4" i="10"/>
  <c r="CK6" i="10" s="1"/>
  <c r="CK7" i="10" s="1"/>
  <c r="CK17" i="10" s="1"/>
  <c r="CU4" i="10"/>
  <c r="CU6" i="10" s="1"/>
  <c r="CU7" i="10" s="1"/>
  <c r="CT4" i="10"/>
  <c r="CT6" i="10" s="1"/>
  <c r="CT7" i="10" s="1"/>
  <c r="CS4" i="10"/>
  <c r="CS6" i="10" s="1"/>
  <c r="CS7" i="10" s="1"/>
  <c r="CR4" i="10"/>
  <c r="CR6" i="10" s="1"/>
  <c r="CR7" i="10" s="1"/>
  <c r="CQ4" i="10"/>
  <c r="CQ6" i="10" s="1"/>
  <c r="CQ7" i="10" s="1"/>
  <c r="CP4" i="10"/>
  <c r="CP6" i="10" s="1"/>
  <c r="CP7" i="10" s="1"/>
  <c r="CO4" i="10"/>
  <c r="CO6" i="10" s="1"/>
  <c r="CO7" i="10" s="1"/>
  <c r="CO17" i="10" s="1"/>
  <c r="CX4" i="10"/>
  <c r="CX6" i="10" s="1"/>
  <c r="CX7" i="10" s="1"/>
  <c r="CW4" i="10"/>
  <c r="CW6" i="10" s="1"/>
  <c r="CW7" i="10" s="1"/>
  <c r="Q15" i="10"/>
  <c r="R15" i="10"/>
  <c r="S15" i="10"/>
  <c r="T15" i="10"/>
  <c r="U15" i="10"/>
  <c r="V15" i="10"/>
  <c r="W15" i="10"/>
  <c r="X15" i="10"/>
  <c r="Y15" i="10"/>
  <c r="Z15" i="10"/>
  <c r="AA15" i="10"/>
  <c r="AA17" i="10" s="1"/>
  <c r="AB15" i="10"/>
  <c r="AC15" i="10"/>
  <c r="AD15" i="10"/>
  <c r="AE15" i="10"/>
  <c r="AF15" i="10"/>
  <c r="AG15" i="10"/>
  <c r="AH15" i="10"/>
  <c r="AI15" i="10"/>
  <c r="AJ15" i="10"/>
  <c r="AK15" i="10"/>
  <c r="AL15" i="10"/>
  <c r="AM15" i="10"/>
  <c r="AM17" i="10" s="1"/>
  <c r="AN15" i="10"/>
  <c r="AN17" i="10" s="1"/>
  <c r="AO15" i="10"/>
  <c r="AP15" i="10"/>
  <c r="AQ15" i="10"/>
  <c r="AR15" i="10"/>
  <c r="AS15" i="10"/>
  <c r="AT15" i="10"/>
  <c r="AU15" i="10"/>
  <c r="AV15" i="10"/>
  <c r="AW15" i="10"/>
  <c r="AX15" i="10"/>
  <c r="AY15" i="10"/>
  <c r="AY17" i="10" s="1"/>
  <c r="AZ15" i="10"/>
  <c r="AZ17" i="10" s="1"/>
  <c r="BA15" i="10"/>
  <c r="BB15" i="10"/>
  <c r="BC15" i="10"/>
  <c r="BD15" i="10"/>
  <c r="BE15" i="10"/>
  <c r="BF15" i="10"/>
  <c r="BG15" i="10"/>
  <c r="BG17" i="10" s="1"/>
  <c r="BH15" i="10"/>
  <c r="BI15" i="10"/>
  <c r="BI17" i="10" s="1"/>
  <c r="BJ15" i="10"/>
  <c r="BJ17" i="10" s="1"/>
  <c r="BK15" i="10"/>
  <c r="BK17" i="10" s="1"/>
  <c r="BL15" i="10"/>
  <c r="BL17" i="10" s="1"/>
  <c r="BM15" i="10"/>
  <c r="BM17" i="10" s="1"/>
  <c r="BN15" i="10"/>
  <c r="BO15" i="10"/>
  <c r="BO17" i="10" s="1"/>
  <c r="BP15" i="10"/>
  <c r="BQ15" i="10"/>
  <c r="BR15" i="10"/>
  <c r="BS15" i="10"/>
  <c r="BS17" i="10" s="1"/>
  <c r="BT15" i="10"/>
  <c r="BU15" i="10"/>
  <c r="BU17" i="10" s="1"/>
  <c r="BV15" i="10"/>
  <c r="BV17" i="10" s="1"/>
  <c r="BW15" i="10"/>
  <c r="BW17" i="10" s="1"/>
  <c r="BX17" i="10"/>
  <c r="BY15" i="10"/>
  <c r="BY17" i="10" s="1"/>
  <c r="BZ15" i="10"/>
  <c r="CA15" i="10"/>
  <c r="CA17" i="10" s="1"/>
  <c r="CB15" i="10"/>
  <c r="CC15" i="10"/>
  <c r="CD15" i="10"/>
  <c r="CE15" i="10"/>
  <c r="CE17" i="10" s="1"/>
  <c r="CF15" i="10"/>
  <c r="CG15" i="10"/>
  <c r="CG17" i="10" s="1"/>
  <c r="CH15" i="10"/>
  <c r="CH17" i="10" s="1"/>
  <c r="CI15" i="10"/>
  <c r="CI17" i="10" s="1"/>
  <c r="CJ15" i="10"/>
  <c r="CJ17" i="10" s="1"/>
  <c r="CP15" i="10"/>
  <c r="CQ15" i="10"/>
  <c r="CR15" i="10"/>
  <c r="CS15" i="10"/>
  <c r="CT15" i="10"/>
  <c r="CU15" i="10"/>
  <c r="CV15" i="10"/>
  <c r="CW15" i="10"/>
  <c r="CX15" i="10"/>
  <c r="CY15" i="10"/>
  <c r="CZ15" i="10"/>
  <c r="DA15" i="10"/>
  <c r="DB15" i="10"/>
  <c r="DC15" i="10"/>
  <c r="DC17" i="10" s="1"/>
  <c r="DD15" i="10"/>
  <c r="DD17" i="10" s="1"/>
  <c r="DE15" i="10"/>
  <c r="DF15" i="10"/>
  <c r="DG15" i="10"/>
  <c r="DG17" i="10" s="1"/>
  <c r="DH15" i="10"/>
  <c r="DH17" i="10" s="1"/>
  <c r="DI15" i="10"/>
  <c r="DI17" i="10" s="1"/>
  <c r="DJ15" i="10"/>
  <c r="DJ17" i="10" s="1"/>
  <c r="DK15" i="10"/>
  <c r="DK17" i="10" s="1"/>
  <c r="DL15" i="10"/>
  <c r="DL17" i="10" s="1"/>
  <c r="DM15" i="10"/>
  <c r="DM17" i="10" s="1"/>
  <c r="DN15" i="10"/>
  <c r="DN17" i="10" s="1"/>
  <c r="DO15" i="10"/>
  <c r="DO17" i="10" s="1"/>
  <c r="DP15" i="10"/>
  <c r="DP17" i="10" s="1"/>
  <c r="DQ15" i="10"/>
  <c r="DQ17" i="10" s="1"/>
  <c r="DR15" i="10"/>
  <c r="DR17" i="10" s="1"/>
  <c r="DS15" i="10"/>
  <c r="DS17" i="10" s="1"/>
  <c r="E6" i="9"/>
  <c r="E7" i="9" s="1"/>
  <c r="E15" i="9"/>
  <c r="E17" i="9" s="1"/>
  <c r="F4" i="9"/>
  <c r="F6" i="9"/>
  <c r="F7" i="9" s="1"/>
  <c r="F15" i="9"/>
  <c r="F17" i="9" s="1"/>
  <c r="G4" i="9"/>
  <c r="G6" i="9"/>
  <c r="G7" i="9" s="1"/>
  <c r="G15" i="9"/>
  <c r="G17" i="9" s="1"/>
  <c r="H4" i="9"/>
  <c r="H6" i="9"/>
  <c r="H7" i="9" s="1"/>
  <c r="H15" i="9"/>
  <c r="H17" i="9" s="1"/>
  <c r="I4" i="9"/>
  <c r="I6" i="9"/>
  <c r="I7" i="9" s="1"/>
  <c r="I15" i="9"/>
  <c r="I17" i="9" s="1"/>
  <c r="J4" i="9"/>
  <c r="J6" i="9"/>
  <c r="J7" i="9" s="1"/>
  <c r="J15" i="9"/>
  <c r="J17" i="9" s="1"/>
  <c r="K4" i="9"/>
  <c r="K6" i="9"/>
  <c r="K7" i="9" s="1"/>
  <c r="K15" i="9"/>
  <c r="K17" i="9" s="1"/>
  <c r="L4" i="9"/>
  <c r="L6" i="9"/>
  <c r="L7" i="9" s="1"/>
  <c r="L15" i="9"/>
  <c r="L17" i="9" s="1"/>
  <c r="M4" i="9"/>
  <c r="M6" i="9"/>
  <c r="M7" i="9" s="1"/>
  <c r="M15" i="9"/>
  <c r="M17" i="9" s="1"/>
  <c r="N4" i="9"/>
  <c r="N6" i="9"/>
  <c r="N7" i="9" s="1"/>
  <c r="N15" i="9"/>
  <c r="N17" i="9" s="1"/>
  <c r="O6" i="9"/>
  <c r="O7" i="9" s="1"/>
  <c r="O15" i="9"/>
  <c r="O17" i="9" s="1"/>
  <c r="P6" i="9"/>
  <c r="P7" i="9" s="1"/>
  <c r="P15" i="9"/>
  <c r="P17" i="9" s="1"/>
  <c r="CB4" i="9"/>
  <c r="CB6" i="9" s="1"/>
  <c r="CB7" i="9" s="1"/>
  <c r="CA4" i="9"/>
  <c r="CA6" i="9" s="1"/>
  <c r="CA7" i="9" s="1"/>
  <c r="BZ4" i="9"/>
  <c r="BZ6" i="9" s="1"/>
  <c r="BZ7" i="9" s="1"/>
  <c r="BY4" i="9"/>
  <c r="BY6" i="9" s="1"/>
  <c r="BY7" i="9" s="1"/>
  <c r="CI4" i="9"/>
  <c r="CI6" i="9" s="1"/>
  <c r="CI7" i="9" s="1"/>
  <c r="CH4" i="9"/>
  <c r="CH6" i="9" s="1"/>
  <c r="CH7" i="9" s="1"/>
  <c r="CG4" i="9"/>
  <c r="CG6" i="9" s="1"/>
  <c r="CG7" i="9" s="1"/>
  <c r="CF4" i="9"/>
  <c r="CF6" i="9" s="1"/>
  <c r="CF7" i="9" s="1"/>
  <c r="CE4" i="9"/>
  <c r="CE6" i="9" s="1"/>
  <c r="CE7" i="9" s="1"/>
  <c r="CD4" i="9"/>
  <c r="CD6" i="9" s="1"/>
  <c r="CD7" i="9" s="1"/>
  <c r="CC4" i="9"/>
  <c r="CC6" i="9" s="1"/>
  <c r="CC7" i="9" s="1"/>
  <c r="CL4" i="9"/>
  <c r="CL6" i="9" s="1"/>
  <c r="CL7" i="9" s="1"/>
  <c r="CK4" i="9"/>
  <c r="CK6" i="9" s="1"/>
  <c r="CK7" i="9" s="1"/>
  <c r="Q15" i="9"/>
  <c r="Q17" i="9" s="1"/>
  <c r="R15" i="9"/>
  <c r="R17" i="9" s="1"/>
  <c r="S15" i="9"/>
  <c r="S17" i="9" s="1"/>
  <c r="T15" i="9"/>
  <c r="T17" i="9" s="1"/>
  <c r="U15" i="9"/>
  <c r="U17" i="9" s="1"/>
  <c r="V15" i="9"/>
  <c r="V17" i="9" s="1"/>
  <c r="W15" i="9"/>
  <c r="W17" i="9" s="1"/>
  <c r="X15" i="9"/>
  <c r="X17" i="9" s="1"/>
  <c r="Y15" i="9"/>
  <c r="Y17" i="9" s="1"/>
  <c r="Z15" i="9"/>
  <c r="Z17" i="9" s="1"/>
  <c r="AA15" i="9"/>
  <c r="AA17" i="9" s="1"/>
  <c r="AB15" i="9"/>
  <c r="AB17" i="9" s="1"/>
  <c r="AC15" i="9"/>
  <c r="AC17" i="9" s="1"/>
  <c r="AD15" i="9"/>
  <c r="AD17" i="9" s="1"/>
  <c r="AE15" i="9"/>
  <c r="AE17" i="9" s="1"/>
  <c r="AF15" i="9"/>
  <c r="AF17" i="9" s="1"/>
  <c r="AG15" i="9"/>
  <c r="AG17" i="9" s="1"/>
  <c r="AH15" i="9"/>
  <c r="AH17" i="9" s="1"/>
  <c r="AI15" i="9"/>
  <c r="AI17" i="9" s="1"/>
  <c r="AJ15" i="9"/>
  <c r="AJ17" i="9" s="1"/>
  <c r="AK15" i="9"/>
  <c r="AK17" i="9" s="1"/>
  <c r="AL15" i="9"/>
  <c r="AL17" i="9" s="1"/>
  <c r="AM15" i="9"/>
  <c r="AM17" i="9" s="1"/>
  <c r="AN15" i="9"/>
  <c r="AN17" i="9" s="1"/>
  <c r="AO15" i="9"/>
  <c r="AO17" i="9" s="1"/>
  <c r="AP15" i="9"/>
  <c r="AP17" i="9" s="1"/>
  <c r="AQ15" i="9"/>
  <c r="AQ17" i="9" s="1"/>
  <c r="AR15" i="9"/>
  <c r="AR17" i="9" s="1"/>
  <c r="AS15" i="9"/>
  <c r="AS17" i="9" s="1"/>
  <c r="AT15" i="9"/>
  <c r="AT17" i="9" s="1"/>
  <c r="AU15" i="9"/>
  <c r="AU17" i="9" s="1"/>
  <c r="AV15" i="9"/>
  <c r="AV17" i="9" s="1"/>
  <c r="AW15" i="9"/>
  <c r="AW17" i="9" s="1"/>
  <c r="AX15" i="9"/>
  <c r="AX17" i="9" s="1"/>
  <c r="AY15" i="9"/>
  <c r="AY17" i="9" s="1"/>
  <c r="AZ15" i="9"/>
  <c r="AZ17" i="9" s="1"/>
  <c r="BA15" i="9"/>
  <c r="BA17" i="9" s="1"/>
  <c r="BB15" i="9"/>
  <c r="BB17" i="9" s="1"/>
  <c r="BC15" i="9"/>
  <c r="BC17" i="9" s="1"/>
  <c r="BD15" i="9"/>
  <c r="BD17" i="9" s="1"/>
  <c r="BE15" i="9"/>
  <c r="BE17" i="9" s="1"/>
  <c r="BF15" i="9"/>
  <c r="BF17" i="9" s="1"/>
  <c r="BG15" i="9"/>
  <c r="BG17" i="9" s="1"/>
  <c r="BH15" i="9"/>
  <c r="BH17" i="9" s="1"/>
  <c r="BI15" i="9"/>
  <c r="BI17" i="9" s="1"/>
  <c r="BJ15" i="9"/>
  <c r="BJ17" i="9" s="1"/>
  <c r="BK15" i="9"/>
  <c r="BK17" i="9" s="1"/>
  <c r="BL17" i="9"/>
  <c r="BM15" i="9"/>
  <c r="BM17" i="9" s="1"/>
  <c r="BN15" i="9"/>
  <c r="BN17" i="9" s="1"/>
  <c r="BO15" i="9"/>
  <c r="BO17" i="9" s="1"/>
  <c r="BP15" i="9"/>
  <c r="BP17" i="9" s="1"/>
  <c r="BQ15" i="9"/>
  <c r="BQ17" i="9" s="1"/>
  <c r="BR15" i="9"/>
  <c r="BR17" i="9" s="1"/>
  <c r="BS15" i="9"/>
  <c r="BS17" i="9" s="1"/>
  <c r="BT15" i="9"/>
  <c r="BT17" i="9" s="1"/>
  <c r="BU15" i="9"/>
  <c r="BU17" i="9" s="1"/>
  <c r="BV15" i="9"/>
  <c r="BV17" i="9" s="1"/>
  <c r="BW15" i="9"/>
  <c r="BW17" i="9" s="1"/>
  <c r="BX15" i="9"/>
  <c r="BX17" i="9" s="1"/>
  <c r="BY17" i="9"/>
  <c r="BZ17" i="9"/>
  <c r="CA17" i="9"/>
  <c r="CB17" i="9"/>
  <c r="CC17" i="9"/>
  <c r="CD15" i="9"/>
  <c r="CD17" i="9" s="1"/>
  <c r="CE15" i="9"/>
  <c r="CE17" i="9" s="1"/>
  <c r="CF15" i="9"/>
  <c r="CF17" i="9" s="1"/>
  <c r="CG15" i="9"/>
  <c r="CG17" i="9" s="1"/>
  <c r="CH15" i="9"/>
  <c r="CH17" i="9" s="1"/>
  <c r="CI15" i="9"/>
  <c r="CI17" i="9" s="1"/>
  <c r="CJ15" i="9"/>
  <c r="CJ17" i="9" s="1"/>
  <c r="CK15" i="9"/>
  <c r="CK17" i="9" s="1"/>
  <c r="CL15" i="9"/>
  <c r="CL17" i="9" s="1"/>
  <c r="CM15" i="9"/>
  <c r="CM17" i="9" s="1"/>
  <c r="CN15" i="9"/>
  <c r="CN17" i="9" s="1"/>
  <c r="CO15" i="9"/>
  <c r="CO17" i="9" s="1"/>
  <c r="CP15" i="9"/>
  <c r="CP17" i="9" s="1"/>
  <c r="CQ15" i="9"/>
  <c r="CQ17" i="9" s="1"/>
  <c r="CR15" i="9"/>
  <c r="CR17" i="9" s="1"/>
  <c r="CS15" i="9"/>
  <c r="CS17" i="9" s="1"/>
  <c r="CT15" i="9"/>
  <c r="CT17" i="9" s="1"/>
  <c r="CU15" i="9"/>
  <c r="CU17" i="9" s="1"/>
  <c r="CV15" i="9"/>
  <c r="CV17" i="9" s="1"/>
  <c r="CW15" i="9"/>
  <c r="CW17" i="9" s="1"/>
  <c r="CX15" i="9"/>
  <c r="CX17" i="9" s="1"/>
  <c r="CY15" i="9"/>
  <c r="CY17" i="9" s="1"/>
  <c r="CZ15" i="9"/>
  <c r="CZ17" i="9" s="1"/>
  <c r="DA15" i="9"/>
  <c r="DA17" i="9" s="1"/>
  <c r="DB15" i="9"/>
  <c r="DB17" i="9" s="1"/>
  <c r="DC15" i="9"/>
  <c r="DC17" i="9" s="1"/>
  <c r="DD15" i="9"/>
  <c r="DD17" i="9" s="1"/>
  <c r="DE15" i="9"/>
  <c r="DE17" i="9" s="1"/>
  <c r="DF15" i="9"/>
  <c r="DF17" i="9" s="1"/>
  <c r="DG15" i="9"/>
  <c r="DG17" i="9" s="1"/>
  <c r="E6" i="8"/>
  <c r="E7" i="8" s="1"/>
  <c r="E15" i="8"/>
  <c r="E17" i="8" s="1"/>
  <c r="F4" i="8"/>
  <c r="F6" i="8"/>
  <c r="F7" i="8" s="1"/>
  <c r="F15" i="8"/>
  <c r="F17" i="8" s="1"/>
  <c r="G4" i="8"/>
  <c r="G6" i="8"/>
  <c r="G7" i="8" s="1"/>
  <c r="G15" i="8"/>
  <c r="G17" i="8" s="1"/>
  <c r="H4" i="8"/>
  <c r="H6" i="8" s="1"/>
  <c r="H7" i="8" s="1"/>
  <c r="H15" i="8"/>
  <c r="H17" i="8" s="1"/>
  <c r="I4" i="8"/>
  <c r="I6" i="8"/>
  <c r="I7" i="8" s="1"/>
  <c r="I15" i="8"/>
  <c r="I17" i="8" s="1"/>
  <c r="J4" i="8"/>
  <c r="J6" i="8"/>
  <c r="J7" i="8" s="1"/>
  <c r="J15" i="8"/>
  <c r="J17" i="8" s="1"/>
  <c r="K4" i="8"/>
  <c r="K6" i="8"/>
  <c r="K7" i="8" s="1"/>
  <c r="K15" i="8"/>
  <c r="K17" i="8" s="1"/>
  <c r="L4" i="8"/>
  <c r="L6" i="8"/>
  <c r="L7" i="8" s="1"/>
  <c r="L15" i="8"/>
  <c r="L17" i="8" s="1"/>
  <c r="M4" i="8"/>
  <c r="M6" i="8"/>
  <c r="M7" i="8" s="1"/>
  <c r="M15" i="8"/>
  <c r="M17" i="8" s="1"/>
  <c r="N4" i="8"/>
  <c r="N6" i="8"/>
  <c r="N7" i="8" s="1"/>
  <c r="N15" i="8"/>
  <c r="N17" i="8" s="1"/>
  <c r="O4" i="8"/>
  <c r="O6" i="8"/>
  <c r="O7" i="8" s="1"/>
  <c r="O15" i="8"/>
  <c r="O17" i="8" s="1"/>
  <c r="P4" i="8"/>
  <c r="P6" i="8" s="1"/>
  <c r="P7" i="8" s="1"/>
  <c r="P15" i="8"/>
  <c r="P17" i="8" s="1"/>
  <c r="AC4" i="8"/>
  <c r="AC6" i="8" s="1"/>
  <c r="AC7" i="8" s="1"/>
  <c r="AC17" i="8" s="1"/>
  <c r="AD4" i="8"/>
  <c r="AD6" i="8" s="1"/>
  <c r="AD7" i="8" s="1"/>
  <c r="AD17" i="8" s="1"/>
  <c r="AE4" i="8"/>
  <c r="AE6" i="8" s="1"/>
  <c r="AE7" i="8" s="1"/>
  <c r="AE17" i="8" s="1"/>
  <c r="Q15" i="8"/>
  <c r="Q17" i="8" s="1"/>
  <c r="R15" i="8"/>
  <c r="R17" i="8" s="1"/>
  <c r="S15" i="8"/>
  <c r="S17" i="8" s="1"/>
  <c r="T15" i="8"/>
  <c r="T17" i="8" s="1"/>
  <c r="U15" i="8"/>
  <c r="U17" i="8" s="1"/>
  <c r="V15" i="8"/>
  <c r="V17" i="8" s="1"/>
  <c r="W15" i="8"/>
  <c r="W17" i="8" s="1"/>
  <c r="X15" i="8"/>
  <c r="X17" i="8" s="1"/>
  <c r="Y15" i="8"/>
  <c r="Y17" i="8" s="1"/>
  <c r="Z15" i="8"/>
  <c r="Z17" i="8" s="1"/>
  <c r="AA15" i="8"/>
  <c r="AA17" i="8" s="1"/>
  <c r="AB15" i="8"/>
  <c r="AB17" i="8" s="1"/>
  <c r="E6" i="1"/>
  <c r="E7" i="1" s="1"/>
  <c r="E15" i="1"/>
  <c r="E17" i="1" s="1"/>
  <c r="F4" i="1"/>
  <c r="F6" i="1"/>
  <c r="F7" i="1" s="1"/>
  <c r="F15" i="1"/>
  <c r="F17" i="1" s="1"/>
  <c r="G4" i="1"/>
  <c r="G6" i="1"/>
  <c r="G7" i="1" s="1"/>
  <c r="G15" i="1"/>
  <c r="G17" i="1" s="1"/>
  <c r="BD4" i="1"/>
  <c r="BD6" i="1" s="1"/>
  <c r="BD7" i="1" s="1"/>
  <c r="BC4" i="1"/>
  <c r="BC6" i="1" s="1"/>
  <c r="BC7" i="1" s="1"/>
  <c r="BB4" i="1"/>
  <c r="BB6" i="1" s="1"/>
  <c r="BB7" i="1" s="1"/>
  <c r="BA4" i="1"/>
  <c r="BA6" i="1" s="1"/>
  <c r="BA7" i="1" s="1"/>
  <c r="BK4" i="1"/>
  <c r="BK6" i="1" s="1"/>
  <c r="BK7" i="1" s="1"/>
  <c r="BJ4" i="1"/>
  <c r="BJ6" i="1" s="1"/>
  <c r="BJ7" i="1" s="1"/>
  <c r="BI4" i="1"/>
  <c r="BI6" i="1" s="1"/>
  <c r="BI7" i="1" s="1"/>
  <c r="BH4" i="1"/>
  <c r="BH6" i="1" s="1"/>
  <c r="BH7" i="1" s="1"/>
  <c r="BG4" i="1"/>
  <c r="BG6" i="1" s="1"/>
  <c r="BG7" i="1" s="1"/>
  <c r="BF4" i="1"/>
  <c r="BF6" i="1" s="1"/>
  <c r="BF7" i="1" s="1"/>
  <c r="BE4" i="1"/>
  <c r="BE6" i="1" s="1"/>
  <c r="BE7" i="1" s="1"/>
  <c r="BN4" i="1"/>
  <c r="BN6" i="1" s="1"/>
  <c r="BN7" i="1" s="1"/>
  <c r="BM4" i="1"/>
  <c r="BM6" i="1" s="1"/>
  <c r="BM7" i="1" s="1"/>
  <c r="H15" i="1"/>
  <c r="H17" i="1" s="1"/>
  <c r="I15" i="1"/>
  <c r="I17" i="1" s="1"/>
  <c r="J15" i="1"/>
  <c r="J17" i="1" s="1"/>
  <c r="K15" i="1"/>
  <c r="K17" i="1" s="1"/>
  <c r="L15" i="1"/>
  <c r="L17" i="1" s="1"/>
  <c r="M15" i="1"/>
  <c r="M17" i="1" s="1"/>
  <c r="N15" i="1"/>
  <c r="N17" i="1" s="1"/>
  <c r="O15" i="1"/>
  <c r="O17" i="1" s="1"/>
  <c r="P15" i="1"/>
  <c r="P17" i="1" s="1"/>
  <c r="Q15" i="1"/>
  <c r="Q17" i="1" s="1"/>
  <c r="R15" i="1"/>
  <c r="R17" i="1" s="1"/>
  <c r="S15" i="1"/>
  <c r="S17" i="1" s="1"/>
  <c r="T15" i="1"/>
  <c r="T17" i="1" s="1"/>
  <c r="U15" i="1"/>
  <c r="U17" i="1" s="1"/>
  <c r="V15" i="1"/>
  <c r="V17" i="1" s="1"/>
  <c r="W15" i="1"/>
  <c r="W17" i="1" s="1"/>
  <c r="X15" i="1"/>
  <c r="X17" i="1" s="1"/>
  <c r="Y15" i="1"/>
  <c r="Y17" i="1" s="1"/>
  <c r="Z15" i="1"/>
  <c r="Z17" i="1" s="1"/>
  <c r="AA15" i="1"/>
  <c r="AA17" i="1" s="1"/>
  <c r="AB15" i="1"/>
  <c r="AB17" i="1" s="1"/>
  <c r="AC15" i="1"/>
  <c r="AC17" i="1" s="1"/>
  <c r="AD15" i="1"/>
  <c r="AD17" i="1" s="1"/>
  <c r="AE15" i="1"/>
  <c r="AE17" i="1" s="1"/>
  <c r="AF15" i="1"/>
  <c r="AF17" i="1" s="1"/>
  <c r="AG15" i="1"/>
  <c r="AG17" i="1" s="1"/>
  <c r="AH15" i="1"/>
  <c r="AH17" i="1" s="1"/>
  <c r="AI15" i="1"/>
  <c r="AI17" i="1" s="1"/>
  <c r="AJ15" i="1"/>
  <c r="AJ17" i="1" s="1"/>
  <c r="AK15" i="1"/>
  <c r="AK17" i="1" s="1"/>
  <c r="AL15" i="1"/>
  <c r="AL17" i="1" s="1"/>
  <c r="AM15" i="1"/>
  <c r="AM17" i="1" s="1"/>
  <c r="AN17" i="1"/>
  <c r="AO15" i="1"/>
  <c r="AO17" i="1" s="1"/>
  <c r="AP15" i="1"/>
  <c r="AP17" i="1" s="1"/>
  <c r="AQ15" i="1"/>
  <c r="AQ17" i="1" s="1"/>
  <c r="AR15" i="1"/>
  <c r="AR17" i="1" s="1"/>
  <c r="AS15" i="1"/>
  <c r="AS17" i="1" s="1"/>
  <c r="AT15" i="1"/>
  <c r="AT17" i="1" s="1"/>
  <c r="AU15" i="1"/>
  <c r="AU17" i="1" s="1"/>
  <c r="AV15" i="1"/>
  <c r="AV17" i="1" s="1"/>
  <c r="AW15" i="1"/>
  <c r="AW17" i="1" s="1"/>
  <c r="AX15" i="1"/>
  <c r="AX17" i="1" s="1"/>
  <c r="AY15" i="1"/>
  <c r="AY17" i="1" s="1"/>
  <c r="AZ15" i="1"/>
  <c r="AZ17" i="1" s="1"/>
  <c r="BA17" i="1"/>
  <c r="BB17" i="1"/>
  <c r="BC17" i="1"/>
  <c r="BD17" i="1"/>
  <c r="BE17" i="1"/>
  <c r="BF15" i="1"/>
  <c r="BF17" i="1" s="1"/>
  <c r="BG15" i="1"/>
  <c r="BG17" i="1" s="1"/>
  <c r="BH15" i="1"/>
  <c r="BH17" i="1" s="1"/>
  <c r="BI15" i="1"/>
  <c r="BI17" i="1" s="1"/>
  <c r="BJ15" i="1"/>
  <c r="BJ17" i="1" s="1"/>
  <c r="BK15" i="1"/>
  <c r="BK17" i="1" s="1"/>
  <c r="BL15" i="1"/>
  <c r="BL17" i="1" s="1"/>
  <c r="BM15" i="1"/>
  <c r="BM17" i="1" s="1"/>
  <c r="BN15" i="1"/>
  <c r="BN17" i="1" s="1"/>
  <c r="BO15" i="1"/>
  <c r="BO17" i="1" s="1"/>
  <c r="BP15" i="1"/>
  <c r="BP17" i="1" s="1"/>
  <c r="BQ15" i="1"/>
  <c r="BQ17" i="1" s="1"/>
  <c r="BR15" i="1"/>
  <c r="BR17" i="1" s="1"/>
  <c r="BS15" i="1"/>
  <c r="BS17" i="1" s="1"/>
  <c r="BT15" i="1"/>
  <c r="BT17" i="1" s="1"/>
  <c r="BU15" i="1"/>
  <c r="BU17" i="1" s="1"/>
  <c r="BV15" i="1"/>
  <c r="BV17" i="1" s="1"/>
  <c r="BW15" i="1"/>
  <c r="BW17" i="1" s="1"/>
  <c r="BX15" i="1"/>
  <c r="BX17" i="1" s="1"/>
  <c r="BY15" i="1"/>
  <c r="BY17" i="1" s="1"/>
  <c r="BZ15" i="1"/>
  <c r="BZ17" i="1" s="1"/>
  <c r="CA15" i="1"/>
  <c r="CA17" i="1" s="1"/>
  <c r="CB15" i="1"/>
  <c r="CB17" i="1" s="1"/>
  <c r="CC15" i="1"/>
  <c r="CC17" i="1" s="1"/>
  <c r="CD15" i="1"/>
  <c r="CD17" i="1" s="1"/>
  <c r="CE15" i="1"/>
  <c r="CE17" i="1" s="1"/>
  <c r="CF15" i="1"/>
  <c r="CF17" i="1" s="1"/>
  <c r="CG15" i="1"/>
  <c r="CG17" i="1" s="1"/>
  <c r="CH15" i="1"/>
  <c r="CH17" i="1" s="1"/>
  <c r="CI15" i="1"/>
  <c r="CI17" i="1" s="1"/>
  <c r="AR4" i="2"/>
  <c r="AR6" i="2" s="1"/>
  <c r="AR7" i="2" s="1"/>
  <c r="AQ4" i="2"/>
  <c r="AQ6" i="2" s="1"/>
  <c r="AQ7" i="2" s="1"/>
  <c r="AP4" i="2"/>
  <c r="AP6" i="2" s="1"/>
  <c r="AP7" i="2" s="1"/>
  <c r="AO4" i="2"/>
  <c r="AO6" i="2" s="1"/>
  <c r="AO7" i="2" s="1"/>
  <c r="AY4" i="2"/>
  <c r="AY6" i="2" s="1"/>
  <c r="AY7" i="2" s="1"/>
  <c r="AX4" i="2"/>
  <c r="AX6" i="2" s="1"/>
  <c r="AX7" i="2" s="1"/>
  <c r="AW4" i="2"/>
  <c r="AW6" i="2" s="1"/>
  <c r="AW7" i="2" s="1"/>
  <c r="AV4" i="2"/>
  <c r="AV6" i="2" s="1"/>
  <c r="AV7" i="2" s="1"/>
  <c r="AU4" i="2"/>
  <c r="AU6" i="2" s="1"/>
  <c r="AU7" i="2" s="1"/>
  <c r="AT4" i="2"/>
  <c r="AT6" i="2" s="1"/>
  <c r="AT7" i="2" s="1"/>
  <c r="AS4" i="2"/>
  <c r="AS6" i="2" s="1"/>
  <c r="AS7" i="2" s="1"/>
  <c r="BB4" i="2"/>
  <c r="BB6" i="2" s="1"/>
  <c r="BB7" i="2" s="1"/>
  <c r="BA4" i="2"/>
  <c r="BA6" i="2" s="1"/>
  <c r="BA7" i="2" s="1"/>
  <c r="E15" i="2"/>
  <c r="E17" i="2" s="1"/>
  <c r="F15" i="2"/>
  <c r="F17" i="2" s="1"/>
  <c r="G15" i="2"/>
  <c r="G17" i="2" s="1"/>
  <c r="H15" i="2"/>
  <c r="H17" i="2" s="1"/>
  <c r="I15" i="2"/>
  <c r="I17" i="2" s="1"/>
  <c r="J15" i="2"/>
  <c r="J17" i="2" s="1"/>
  <c r="K15" i="2"/>
  <c r="K17" i="2" s="1"/>
  <c r="L15" i="2"/>
  <c r="L17" i="2" s="1"/>
  <c r="M15" i="2"/>
  <c r="M17" i="2" s="1"/>
  <c r="N15" i="2"/>
  <c r="N17" i="2" s="1"/>
  <c r="O15" i="2"/>
  <c r="O17" i="2" s="1"/>
  <c r="P15" i="2"/>
  <c r="P17" i="2" s="1"/>
  <c r="Q15" i="2"/>
  <c r="Q17" i="2" s="1"/>
  <c r="R15" i="2"/>
  <c r="R17" i="2" s="1"/>
  <c r="S15" i="2"/>
  <c r="S17" i="2" s="1"/>
  <c r="T15" i="2"/>
  <c r="T17" i="2" s="1"/>
  <c r="U15" i="2"/>
  <c r="U17" i="2" s="1"/>
  <c r="V15" i="2"/>
  <c r="V17" i="2" s="1"/>
  <c r="W15" i="2"/>
  <c r="W17" i="2" s="1"/>
  <c r="X15" i="2"/>
  <c r="X17" i="2" s="1"/>
  <c r="Y15" i="2"/>
  <c r="Y17" i="2" s="1"/>
  <c r="Z15" i="2"/>
  <c r="Z17" i="2" s="1"/>
  <c r="AA15" i="2"/>
  <c r="AA17" i="2" s="1"/>
  <c r="AB17" i="2"/>
  <c r="AC15" i="2"/>
  <c r="AC17" i="2" s="1"/>
  <c r="AD15" i="2"/>
  <c r="AD17" i="2" s="1"/>
  <c r="AE15" i="2"/>
  <c r="AE17" i="2" s="1"/>
  <c r="AF15" i="2"/>
  <c r="AF17" i="2" s="1"/>
  <c r="AG15" i="2"/>
  <c r="AG17" i="2" s="1"/>
  <c r="AH15" i="2"/>
  <c r="AH17" i="2" s="1"/>
  <c r="AI15" i="2"/>
  <c r="AI17" i="2" s="1"/>
  <c r="AJ15" i="2"/>
  <c r="AJ17" i="2" s="1"/>
  <c r="AK15" i="2"/>
  <c r="AK17" i="2" s="1"/>
  <c r="AL15" i="2"/>
  <c r="AL17" i="2" s="1"/>
  <c r="AM15" i="2"/>
  <c r="AM17" i="2" s="1"/>
  <c r="AN15" i="2"/>
  <c r="AN17" i="2" s="1"/>
  <c r="AO17" i="2"/>
  <c r="AP17" i="2"/>
  <c r="AQ17" i="2"/>
  <c r="AR17" i="2"/>
  <c r="AS17" i="2"/>
  <c r="AT15" i="2"/>
  <c r="AT17" i="2" s="1"/>
  <c r="AU15" i="2"/>
  <c r="AU17" i="2" s="1"/>
  <c r="AV15" i="2"/>
  <c r="AV17" i="2" s="1"/>
  <c r="AW15" i="2"/>
  <c r="AW17" i="2" s="1"/>
  <c r="AX15" i="2"/>
  <c r="AX17" i="2" s="1"/>
  <c r="AY15" i="2"/>
  <c r="AY17" i="2" s="1"/>
  <c r="AZ15" i="2"/>
  <c r="AZ17" i="2" s="1"/>
  <c r="BA15" i="2"/>
  <c r="BA17" i="2" s="1"/>
  <c r="BB15" i="2"/>
  <c r="BB17" i="2" s="1"/>
  <c r="BC15" i="2"/>
  <c r="BC17" i="2" s="1"/>
  <c r="BD15" i="2"/>
  <c r="BD17" i="2" s="1"/>
  <c r="BE15" i="2"/>
  <c r="BE17" i="2" s="1"/>
  <c r="BF15" i="2"/>
  <c r="BF17" i="2" s="1"/>
  <c r="BG15" i="2"/>
  <c r="BG17" i="2" s="1"/>
  <c r="BH15" i="2"/>
  <c r="BH17" i="2" s="1"/>
  <c r="BI15" i="2"/>
  <c r="BI17" i="2" s="1"/>
  <c r="BJ15" i="2"/>
  <c r="BJ17" i="2" s="1"/>
  <c r="BK15" i="2"/>
  <c r="BK17" i="2" s="1"/>
  <c r="BL15" i="2"/>
  <c r="BL17" i="2" s="1"/>
  <c r="BM15" i="2"/>
  <c r="BM17" i="2" s="1"/>
  <c r="BN15" i="2"/>
  <c r="BN17" i="2" s="1"/>
  <c r="BO15" i="2"/>
  <c r="BO17" i="2" s="1"/>
  <c r="BP15" i="2"/>
  <c r="BP17" i="2" s="1"/>
  <c r="BQ15" i="2"/>
  <c r="BQ17" i="2" s="1"/>
  <c r="BR15" i="2"/>
  <c r="BR17" i="2" s="1"/>
  <c r="BS15" i="2"/>
  <c r="BS17" i="2" s="1"/>
  <c r="BT15" i="2"/>
  <c r="BT17" i="2" s="1"/>
  <c r="BU15" i="2"/>
  <c r="BU17" i="2" s="1"/>
  <c r="BV15" i="2"/>
  <c r="BV17" i="2" s="1"/>
  <c r="BW15" i="2"/>
  <c r="BW17" i="2" s="1"/>
  <c r="AE4" i="3"/>
  <c r="AE6" i="3" s="1"/>
  <c r="AE7" i="3" s="1"/>
  <c r="AD4" i="3"/>
  <c r="AD6" i="3" s="1"/>
  <c r="AD7" i="3" s="1"/>
  <c r="AC4" i="3"/>
  <c r="AC6" i="3" s="1"/>
  <c r="AC7" i="3" s="1"/>
  <c r="AB4" i="3"/>
  <c r="AB6" i="3" s="1"/>
  <c r="AB7" i="3" s="1"/>
  <c r="AL4" i="3"/>
  <c r="AL6" i="3" s="1"/>
  <c r="AL7" i="3" s="1"/>
  <c r="AK4" i="3"/>
  <c r="AK6" i="3" s="1"/>
  <c r="AK7" i="3" s="1"/>
  <c r="AJ4" i="3"/>
  <c r="AJ6" i="3" s="1"/>
  <c r="AJ7" i="3" s="1"/>
  <c r="AI4" i="3"/>
  <c r="AI6" i="3" s="1"/>
  <c r="AI7" i="3" s="1"/>
  <c r="AH4" i="3"/>
  <c r="AH6" i="3" s="1"/>
  <c r="AH7" i="3" s="1"/>
  <c r="AG4" i="3"/>
  <c r="AG6" i="3" s="1"/>
  <c r="AG7" i="3" s="1"/>
  <c r="AF4" i="3"/>
  <c r="AF6" i="3" s="1"/>
  <c r="AF7" i="3" s="1"/>
  <c r="AO4" i="3"/>
  <c r="AO6" i="3" s="1"/>
  <c r="AO7" i="3" s="1"/>
  <c r="AN4" i="3"/>
  <c r="AN6" i="3" s="1"/>
  <c r="AN7" i="3" s="1"/>
  <c r="D15" i="3"/>
  <c r="D17" i="3" s="1"/>
  <c r="E15" i="3"/>
  <c r="E17" i="3" s="1"/>
  <c r="F15" i="3"/>
  <c r="F17" i="3" s="1"/>
  <c r="G15" i="3"/>
  <c r="G17" i="3" s="1"/>
  <c r="H15" i="3"/>
  <c r="H17" i="3" s="1"/>
  <c r="I15" i="3"/>
  <c r="I17" i="3" s="1"/>
  <c r="J15" i="3"/>
  <c r="J17" i="3" s="1"/>
  <c r="K15" i="3"/>
  <c r="K17" i="3" s="1"/>
  <c r="L15" i="3"/>
  <c r="L17" i="3" s="1"/>
  <c r="M15" i="3"/>
  <c r="M17" i="3" s="1"/>
  <c r="N15" i="3"/>
  <c r="N17" i="3" s="1"/>
  <c r="O17" i="3"/>
  <c r="P15" i="3"/>
  <c r="P17" i="3" s="1"/>
  <c r="Q15" i="3"/>
  <c r="Q17" i="3" s="1"/>
  <c r="R15" i="3"/>
  <c r="R17" i="3" s="1"/>
  <c r="S15" i="3"/>
  <c r="S17" i="3" s="1"/>
  <c r="T15" i="3"/>
  <c r="T17" i="3" s="1"/>
  <c r="U15" i="3"/>
  <c r="U17" i="3" s="1"/>
  <c r="V15" i="3"/>
  <c r="V17" i="3" s="1"/>
  <c r="W15" i="3"/>
  <c r="W17" i="3" s="1"/>
  <c r="X15" i="3"/>
  <c r="X17" i="3" s="1"/>
  <c r="Y15" i="3"/>
  <c r="Y17" i="3" s="1"/>
  <c r="Z15" i="3"/>
  <c r="Z17" i="3" s="1"/>
  <c r="AA15" i="3"/>
  <c r="AA17" i="3" s="1"/>
  <c r="AB17" i="3"/>
  <c r="AC17" i="3"/>
  <c r="AD17" i="3"/>
  <c r="AE17" i="3"/>
  <c r="AF17" i="3"/>
  <c r="AG15" i="3"/>
  <c r="AG17" i="3" s="1"/>
  <c r="AH15" i="3"/>
  <c r="AH17" i="3" s="1"/>
  <c r="AI15" i="3"/>
  <c r="AI17" i="3" s="1"/>
  <c r="AJ15" i="3"/>
  <c r="AJ17" i="3" s="1"/>
  <c r="AK15" i="3"/>
  <c r="AK17" i="3" s="1"/>
  <c r="AL15" i="3"/>
  <c r="AL17" i="3" s="1"/>
  <c r="AM15" i="3"/>
  <c r="AM17" i="3" s="1"/>
  <c r="AN15" i="3"/>
  <c r="AN17" i="3" s="1"/>
  <c r="AO15" i="3"/>
  <c r="AO17" i="3" s="1"/>
  <c r="AP15" i="3"/>
  <c r="AP17" i="3" s="1"/>
  <c r="AQ15" i="3"/>
  <c r="AQ17" i="3" s="1"/>
  <c r="AR15" i="3"/>
  <c r="AR17" i="3" s="1"/>
  <c r="AS15" i="3"/>
  <c r="AS17" i="3" s="1"/>
  <c r="AT15" i="3"/>
  <c r="AT17" i="3" s="1"/>
  <c r="AU15" i="3"/>
  <c r="AU17" i="3" s="1"/>
  <c r="AV15" i="3"/>
  <c r="AV17" i="3" s="1"/>
  <c r="AW15" i="3"/>
  <c r="AW17" i="3" s="1"/>
  <c r="AX15" i="3"/>
  <c r="AX17" i="3" s="1"/>
  <c r="AY15" i="3"/>
  <c r="AY17" i="3" s="1"/>
  <c r="AZ15" i="3"/>
  <c r="AZ17" i="3" s="1"/>
  <c r="BA15" i="3"/>
  <c r="BA17" i="3" s="1"/>
  <c r="BB15" i="3"/>
  <c r="BB17" i="3" s="1"/>
  <c r="BC15" i="3"/>
  <c r="BC17" i="3" s="1"/>
  <c r="BD15" i="3"/>
  <c r="BD17" i="3" s="1"/>
  <c r="BE15" i="3"/>
  <c r="BE17" i="3" s="1"/>
  <c r="BF15" i="3"/>
  <c r="BF17" i="3" s="1"/>
  <c r="BG15" i="3"/>
  <c r="BG17" i="3" s="1"/>
  <c r="BH15" i="3"/>
  <c r="BH17" i="3" s="1"/>
  <c r="BI15" i="3"/>
  <c r="BI17" i="3" s="1"/>
  <c r="BJ15" i="3"/>
  <c r="BJ17" i="3" s="1"/>
  <c r="S4" i="4"/>
  <c r="S6" i="4" s="1"/>
  <c r="S7" i="4" s="1"/>
  <c r="R4" i="4"/>
  <c r="R6" i="4" s="1"/>
  <c r="R7" i="4" s="1"/>
  <c r="Q4" i="4"/>
  <c r="Q6" i="4" s="1"/>
  <c r="Q7" i="4" s="1"/>
  <c r="P4" i="4"/>
  <c r="P6" i="4" s="1"/>
  <c r="P7" i="4" s="1"/>
  <c r="Z4" i="4"/>
  <c r="Z6" i="4" s="1"/>
  <c r="Z7" i="4" s="1"/>
  <c r="Y4" i="4"/>
  <c r="Y6" i="4" s="1"/>
  <c r="Y7" i="4" s="1"/>
  <c r="X4" i="4"/>
  <c r="X6" i="4" s="1"/>
  <c r="X7" i="4" s="1"/>
  <c r="W4" i="4"/>
  <c r="W6" i="4" s="1"/>
  <c r="W7" i="4" s="1"/>
  <c r="V4" i="4"/>
  <c r="V6" i="4" s="1"/>
  <c r="V7" i="4" s="1"/>
  <c r="U4" i="4"/>
  <c r="U6" i="4" s="1"/>
  <c r="U7" i="4" s="1"/>
  <c r="T4" i="4"/>
  <c r="T6" i="4" s="1"/>
  <c r="T7" i="4" s="1"/>
  <c r="AC4" i="4"/>
  <c r="AC6" i="4" s="1"/>
  <c r="AC7" i="4" s="1"/>
  <c r="AB4" i="4"/>
  <c r="AB6" i="4" s="1"/>
  <c r="AB7" i="4" s="1"/>
  <c r="D15" i="4"/>
  <c r="D17" i="4" s="1"/>
  <c r="E15" i="4"/>
  <c r="E17" i="4" s="1"/>
  <c r="F15" i="4"/>
  <c r="F17" i="4" s="1"/>
  <c r="G15" i="4"/>
  <c r="G17" i="4" s="1"/>
  <c r="H15" i="4"/>
  <c r="H17" i="4" s="1"/>
  <c r="I15" i="4"/>
  <c r="I17" i="4" s="1"/>
  <c r="J15" i="4"/>
  <c r="J17" i="4" s="1"/>
  <c r="K15" i="4"/>
  <c r="K17" i="4" s="1"/>
  <c r="L15" i="4"/>
  <c r="L17" i="4" s="1"/>
  <c r="M15" i="4"/>
  <c r="M17" i="4" s="1"/>
  <c r="N15" i="4"/>
  <c r="N17" i="4" s="1"/>
  <c r="O15" i="4"/>
  <c r="O17" i="4" s="1"/>
  <c r="P17" i="4"/>
  <c r="Q17" i="4"/>
  <c r="R17" i="4"/>
  <c r="S17" i="4"/>
  <c r="T17" i="4"/>
  <c r="U15" i="4"/>
  <c r="U17" i="4" s="1"/>
  <c r="V15" i="4"/>
  <c r="V17" i="4" s="1"/>
  <c r="W15" i="4"/>
  <c r="W17" i="4" s="1"/>
  <c r="X15" i="4"/>
  <c r="X17" i="4" s="1"/>
  <c r="Y15" i="4"/>
  <c r="Y17" i="4" s="1"/>
  <c r="Z15" i="4"/>
  <c r="Z17" i="4" s="1"/>
  <c r="AA15" i="4"/>
  <c r="AA17" i="4" s="1"/>
  <c r="AB15" i="4"/>
  <c r="AB17" i="4" s="1"/>
  <c r="AC15" i="4"/>
  <c r="AC17" i="4" s="1"/>
  <c r="AD15" i="4"/>
  <c r="AD17" i="4" s="1"/>
  <c r="AE15" i="4"/>
  <c r="AE17" i="4" s="1"/>
  <c r="AF15" i="4"/>
  <c r="AF17" i="4" s="1"/>
  <c r="AG15" i="4"/>
  <c r="AG17" i="4" s="1"/>
  <c r="AH15" i="4"/>
  <c r="AH17" i="4" s="1"/>
  <c r="AI15" i="4"/>
  <c r="AI17" i="4" s="1"/>
  <c r="AJ15" i="4"/>
  <c r="AJ17" i="4" s="1"/>
  <c r="AK15" i="4"/>
  <c r="AK17" i="4" s="1"/>
  <c r="AL15" i="4"/>
  <c r="AL17" i="4" s="1"/>
  <c r="AM15" i="4"/>
  <c r="AM17" i="4" s="1"/>
  <c r="AN15" i="4"/>
  <c r="AN17" i="4" s="1"/>
  <c r="AO15" i="4"/>
  <c r="AO17" i="4" s="1"/>
  <c r="AP15" i="4"/>
  <c r="AP17" i="4" s="1"/>
  <c r="AQ15" i="4"/>
  <c r="AQ17" i="4" s="1"/>
  <c r="AR15" i="4"/>
  <c r="AR17" i="4" s="1"/>
  <c r="AS15" i="4"/>
  <c r="AS17" i="4" s="1"/>
  <c r="AT15" i="4"/>
  <c r="AT17" i="4" s="1"/>
  <c r="AU15" i="4"/>
  <c r="AU17" i="4" s="1"/>
  <c r="AV15" i="4"/>
  <c r="AV17" i="4" s="1"/>
  <c r="AW15" i="4"/>
  <c r="AW17" i="4" s="1"/>
  <c r="AX15" i="4"/>
  <c r="AX17" i="4" s="1"/>
  <c r="G4" i="5"/>
  <c r="G6" i="5" s="1"/>
  <c r="G7" i="5" s="1"/>
  <c r="F4" i="5"/>
  <c r="F6" i="5" s="1"/>
  <c r="F7" i="5" s="1"/>
  <c r="E4" i="5"/>
  <c r="E6" i="5" s="1"/>
  <c r="E7" i="5" s="1"/>
  <c r="D4" i="5"/>
  <c r="D6" i="5" s="1"/>
  <c r="D7" i="5" s="1"/>
  <c r="N4" i="5"/>
  <c r="N6" i="5" s="1"/>
  <c r="N7" i="5" s="1"/>
  <c r="M4" i="5"/>
  <c r="M6" i="5" s="1"/>
  <c r="M7" i="5" s="1"/>
  <c r="L4" i="5"/>
  <c r="L6" i="5" s="1"/>
  <c r="L7" i="5" s="1"/>
  <c r="K4" i="5"/>
  <c r="K6" i="5" s="1"/>
  <c r="K7" i="5" s="1"/>
  <c r="J4" i="5"/>
  <c r="J6" i="5" s="1"/>
  <c r="J7" i="5" s="1"/>
  <c r="I4" i="5"/>
  <c r="I6" i="5" s="1"/>
  <c r="I7" i="5" s="1"/>
  <c r="H4" i="5"/>
  <c r="H6" i="5" s="1"/>
  <c r="H7" i="5" s="1"/>
  <c r="R4" i="5"/>
  <c r="R6" i="5" s="1"/>
  <c r="R7" i="5" s="1"/>
  <c r="Q4" i="5"/>
  <c r="Q6" i="5" s="1"/>
  <c r="Q7" i="5" s="1"/>
  <c r="D17" i="5"/>
  <c r="E17" i="5"/>
  <c r="F17" i="5"/>
  <c r="G17" i="5"/>
  <c r="H17" i="5"/>
  <c r="I15" i="5"/>
  <c r="I17" i="5" s="1"/>
  <c r="J15" i="5"/>
  <c r="J17" i="5" s="1"/>
  <c r="K15" i="5"/>
  <c r="K17" i="5" s="1"/>
  <c r="L15" i="5"/>
  <c r="L17" i="5" s="1"/>
  <c r="M15" i="5"/>
  <c r="M17" i="5" s="1"/>
  <c r="N15" i="5"/>
  <c r="N17" i="5" s="1"/>
  <c r="O15" i="5"/>
  <c r="O17" i="5" s="1"/>
  <c r="P15" i="5"/>
  <c r="P17" i="5" s="1"/>
  <c r="Q15" i="5"/>
  <c r="Q17" i="5" s="1"/>
  <c r="R15" i="5"/>
  <c r="R17" i="5" s="1"/>
  <c r="S15" i="5"/>
  <c r="S17" i="5" s="1"/>
  <c r="T15" i="5"/>
  <c r="T17" i="5" s="1"/>
  <c r="U15" i="5"/>
  <c r="U17" i="5" s="1"/>
  <c r="V15" i="5"/>
  <c r="V17" i="5" s="1"/>
  <c r="W15" i="5"/>
  <c r="W17" i="5" s="1"/>
  <c r="X15" i="5"/>
  <c r="X17" i="5" s="1"/>
  <c r="Y15" i="5"/>
  <c r="Y17" i="5" s="1"/>
  <c r="Z15" i="5"/>
  <c r="Z17" i="5" s="1"/>
  <c r="AA15" i="5"/>
  <c r="AA17" i="5" s="1"/>
  <c r="AB15" i="5"/>
  <c r="AB17" i="5" s="1"/>
  <c r="AC15" i="5"/>
  <c r="AC17" i="5" s="1"/>
  <c r="AD15" i="5"/>
  <c r="AD17" i="5" s="1"/>
  <c r="AE15" i="5"/>
  <c r="AE17" i="5" s="1"/>
  <c r="AF15" i="5"/>
  <c r="AF17" i="5" s="1"/>
  <c r="AG15" i="5"/>
  <c r="AG17" i="5" s="1"/>
  <c r="AH15" i="5"/>
  <c r="AH17" i="5" s="1"/>
  <c r="AI15" i="5"/>
  <c r="AI17" i="5" s="1"/>
  <c r="AJ15" i="5"/>
  <c r="AJ17" i="5" s="1"/>
  <c r="AK15" i="5"/>
  <c r="AK17" i="5" s="1"/>
  <c r="AL15" i="5"/>
  <c r="AL17" i="5" s="1"/>
  <c r="AM15" i="5"/>
  <c r="AM17" i="5" s="1"/>
  <c r="F4" i="6"/>
  <c r="F6" i="6" s="1"/>
  <c r="F7" i="6" s="1"/>
  <c r="E4" i="6"/>
  <c r="E6" i="6" s="1"/>
  <c r="E7" i="6" s="1"/>
  <c r="D15" i="6"/>
  <c r="D17" i="6" s="1"/>
  <c r="E15" i="6"/>
  <c r="E17" i="6" s="1"/>
  <c r="F15" i="6"/>
  <c r="F17" i="6" s="1"/>
  <c r="G15" i="6"/>
  <c r="G17" i="6" s="1"/>
  <c r="H15" i="6"/>
  <c r="H17" i="6" s="1"/>
  <c r="I15" i="6"/>
  <c r="I17" i="6" s="1"/>
  <c r="J15" i="6"/>
  <c r="J17" i="6" s="1"/>
  <c r="K15" i="6"/>
  <c r="K17" i="6" s="1"/>
  <c r="L15" i="6"/>
  <c r="L17" i="6" s="1"/>
  <c r="M15" i="6"/>
  <c r="M17" i="6" s="1"/>
  <c r="N15" i="6"/>
  <c r="N17" i="6" s="1"/>
  <c r="O15" i="6"/>
  <c r="O17" i="6" s="1"/>
  <c r="P15" i="6"/>
  <c r="P17" i="6" s="1"/>
  <c r="Q15" i="6"/>
  <c r="Q17" i="6" s="1"/>
  <c r="R15" i="6"/>
  <c r="R17" i="6" s="1"/>
  <c r="S15" i="6"/>
  <c r="S17" i="6" s="1"/>
  <c r="T15" i="6"/>
  <c r="T17" i="6" s="1"/>
  <c r="U15" i="6"/>
  <c r="U17" i="6" s="1"/>
  <c r="V15" i="6"/>
  <c r="V17" i="6" s="1"/>
  <c r="W15" i="6"/>
  <c r="W17" i="6" s="1"/>
  <c r="X15" i="6"/>
  <c r="X17" i="6" s="1"/>
  <c r="Y15" i="6"/>
  <c r="Y17" i="6" s="1"/>
  <c r="Z15" i="6"/>
  <c r="Z17" i="6" s="1"/>
  <c r="AA15" i="6"/>
  <c r="AA17" i="6" s="1"/>
  <c r="D15" i="7"/>
  <c r="D17" i="7" s="1"/>
  <c r="E15" i="7"/>
  <c r="E17" i="7" s="1"/>
  <c r="F15" i="7"/>
  <c r="F17" i="7" s="1"/>
  <c r="G15" i="7"/>
  <c r="G17" i="7" s="1"/>
  <c r="H15" i="7"/>
  <c r="H17" i="7" s="1"/>
  <c r="I15" i="7"/>
  <c r="I17" i="7" s="1"/>
  <c r="J15" i="7"/>
  <c r="J17" i="7" s="1"/>
  <c r="K15" i="7"/>
  <c r="K17" i="7" s="1"/>
  <c r="L15" i="7"/>
  <c r="L17" i="7" s="1"/>
  <c r="M15" i="7"/>
  <c r="M17" i="7" s="1"/>
  <c r="N15" i="7"/>
  <c r="N17" i="7" s="1"/>
  <c r="O15" i="7"/>
  <c r="O17" i="7" s="1"/>
  <c r="M17" i="10" l="1"/>
  <c r="CQ17" i="10"/>
  <c r="BZ17" i="10"/>
  <c r="DB17" i="10"/>
  <c r="AO17" i="10"/>
  <c r="CY17" i="10"/>
  <c r="AX17" i="10"/>
  <c r="AK17" i="10"/>
  <c r="Y17" i="10"/>
  <c r="AL17" i="10"/>
  <c r="AI17" i="10"/>
  <c r="AD17" i="10"/>
  <c r="BH17" i="10"/>
  <c r="DF17" i="10"/>
  <c r="BR17" i="10"/>
  <c r="V17" i="10"/>
  <c r="CV17" i="10"/>
  <c r="CD17" i="10"/>
  <c r="BF17" i="10"/>
  <c r="AH17" i="10"/>
  <c r="CR17" i="10"/>
  <c r="BP17" i="10"/>
  <c r="CW17" i="10"/>
  <c r="Z17" i="10"/>
  <c r="AV17" i="10"/>
  <c r="AJ17" i="10"/>
  <c r="W17" i="10"/>
  <c r="AT17" i="10"/>
  <c r="CC17" i="10"/>
  <c r="AS17" i="10"/>
  <c r="AF17" i="10"/>
  <c r="AP17" i="10"/>
  <c r="CZ17" i="10"/>
  <c r="AC17" i="10"/>
  <c r="CF17" i="10"/>
  <c r="BT17" i="10"/>
  <c r="AU17" i="10"/>
  <c r="BQ17" i="10"/>
  <c r="BE17" i="10"/>
  <c r="AG17" i="10"/>
  <c r="U17" i="10"/>
  <c r="CP17" i="10"/>
  <c r="DA17" i="10"/>
  <c r="BA17" i="10"/>
  <c r="BN17" i="10"/>
  <c r="BB17" i="10"/>
  <c r="R17" i="10"/>
  <c r="Q17" i="10"/>
  <c r="AB17" i="10"/>
  <c r="CB17" i="10"/>
  <c r="CX17" i="10"/>
  <c r="AW17" i="10"/>
  <c r="CU17" i="10"/>
  <c r="X17" i="10"/>
  <c r="CT17" i="10"/>
  <c r="DE17" i="10"/>
  <c r="CS17" i="10"/>
  <c r="P17" i="10"/>
  <c r="O17" i="10"/>
  <c r="BD17" i="10"/>
  <c r="AR17" i="10"/>
  <c r="T17" i="10"/>
  <c r="N17" i="10"/>
  <c r="BC17" i="10"/>
  <c r="AQ17" i="10"/>
  <c r="AE17" i="10"/>
  <c r="S17" i="10"/>
</calcChain>
</file>

<file path=xl/sharedStrings.xml><?xml version="1.0" encoding="utf-8"?>
<sst xmlns="http://schemas.openxmlformats.org/spreadsheetml/2006/main" count="1157" uniqueCount="62">
  <si>
    <t>KEY</t>
  </si>
  <si>
    <t>Financial Highlights</t>
  </si>
  <si>
    <t>Aug</t>
  </si>
  <si>
    <t>Jul</t>
  </si>
  <si>
    <t>Jun</t>
  </si>
  <si>
    <t>May</t>
  </si>
  <si>
    <t>Apr</t>
  </si>
  <si>
    <t>Mar</t>
  </si>
  <si>
    <t>Feb</t>
  </si>
  <si>
    <t>Jan</t>
  </si>
  <si>
    <t>Dec</t>
  </si>
  <si>
    <t>Nov</t>
  </si>
  <si>
    <t>Oct</t>
  </si>
  <si>
    <t>Sept</t>
  </si>
  <si>
    <t>July</t>
  </si>
  <si>
    <t>June</t>
  </si>
  <si>
    <t>April</t>
  </si>
  <si>
    <t>March</t>
  </si>
  <si>
    <t>February</t>
  </si>
  <si>
    <t>January</t>
  </si>
  <si>
    <t>December</t>
  </si>
  <si>
    <t>November</t>
  </si>
  <si>
    <t>October</t>
  </si>
  <si>
    <t>September</t>
  </si>
  <si>
    <t>August</t>
  </si>
  <si>
    <t>From Counts[MbrType Tab] (Regular+Honorary Hines)</t>
  </si>
  <si>
    <t>Current regular membership</t>
  </si>
  <si>
    <t>Average Formula (for the year add new month row 3)</t>
  </si>
  <si>
    <t>Average YTD</t>
  </si>
  <si>
    <t>From Budget for Year (Regular+New+Honorary Hines) does not change month to month</t>
  </si>
  <si>
    <t>Budget Revenue</t>
  </si>
  <si>
    <t>Formula difference of Average and Budget for the year</t>
  </si>
  <si>
    <t>Projected membership variance</t>
  </si>
  <si>
    <t>Projected Member Variance * Cost of membership (218 as of 2023)</t>
  </si>
  <si>
    <t>Projected membership revenue variance</t>
  </si>
  <si>
    <t>Total YTD Income from P&amp;L (ASI Financial Statements Income Statement), subtracted by total YTD of membership dues (3030), subtracted by YTD indexer locator listings (3150), subtracted by YTD total annual meeting (3400)</t>
  </si>
  <si>
    <t>YTD Revenue (excluding Conference, locator, and membership)</t>
  </si>
  <si>
    <t xml:space="preserve"> </t>
  </si>
  <si>
    <t>Formula, change end to correct month number</t>
  </si>
  <si>
    <t>Budget YTD Revenue (excluding Conference, locator, and membership)</t>
  </si>
  <si>
    <t>YTD Revenue Variance from Budget</t>
  </si>
  <si>
    <t>Total YTD Expense from P&amp;L (ASI Financial Statements Income Statement), subtract Conference 5500 YTD</t>
  </si>
  <si>
    <t>YTD Expenses (excluding Conference)</t>
  </si>
  <si>
    <t>Budget YTD Expenses (Excluding Conference)</t>
  </si>
  <si>
    <t>YTD Expense Variance from Budget</t>
  </si>
  <si>
    <t>SUM</t>
  </si>
  <si>
    <t>Combined Variance from Budget</t>
  </si>
  <si>
    <t>Total Checkings/Savings amount on Balance Sheet</t>
  </si>
  <si>
    <t>Cash</t>
  </si>
  <si>
    <t xml:space="preserve">Use the previous month's numbers unless a SIG is disbanded, then adjust </t>
  </si>
  <si>
    <t>Less reserve for restricted</t>
  </si>
  <si>
    <t>Net Income from Conference, Meeting BvA tab on Financial Statements</t>
  </si>
  <si>
    <t>Conference</t>
  </si>
  <si>
    <t>n/a</t>
  </si>
  <si>
    <t>*Reserve for restricted changed when the Business SIG was disbanded.</t>
  </si>
  <si>
    <t>From Budget for Year, does not change month to month</t>
  </si>
  <si>
    <t>Projected Member Variance * Cost of membership (192)</t>
  </si>
  <si>
    <t>Average Formula</t>
  </si>
  <si>
    <t>Budget YTD Revenue (Excluding Conference and membership)</t>
  </si>
  <si>
    <t>Current membership</t>
  </si>
  <si>
    <t>YTD Revenue (excluding conference and membership)</t>
  </si>
  <si>
    <t>YTD Expenses (excluding conference)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</si>
</sst>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Arial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name val="Arial"/>
      <family val="2"/>
    </font>
    <font>
      <u/>
      <sz val="11"/>
      <color theme="1"/>
      <name val="Arial"/>
      <family val="2"/>
    </font>
    <font>
      <u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" fillId="0" borderId="2" xfId="0" applyFont="1" applyBorder="1"/>
    <xf numFmtId="0" fontId="2" fillId="0" borderId="0" xfId="0" applyFont="1"/>
    <xf numFmtId="43" fontId="2" fillId="0" borderId="0" xfId="0" applyNumberFormat="1" applyFont="1" applyAlignment="1">
      <alignment horizontal="right"/>
    </xf>
    <xf numFmtId="39" fontId="2" fillId="0" borderId="0" xfId="0" applyNumberFormat="1" applyFont="1"/>
    <xf numFmtId="43" fontId="2" fillId="0" borderId="0" xfId="0" applyNumberFormat="1" applyFont="1"/>
    <xf numFmtId="39" fontId="2" fillId="0" borderId="2" xfId="0" applyNumberFormat="1" applyFont="1" applyBorder="1"/>
    <xf numFmtId="4" fontId="2" fillId="0" borderId="0" xfId="0" applyNumberFormat="1" applyFont="1"/>
    <xf numFmtId="0" fontId="2" fillId="0" borderId="12" xfId="0" applyFont="1" applyBorder="1" applyAlignment="1">
      <alignment horizontal="center"/>
    </xf>
    <xf numFmtId="0" fontId="3" fillId="0" borderId="12" xfId="0" applyFont="1" applyBorder="1"/>
    <xf numFmtId="0" fontId="1" fillId="0" borderId="12" xfId="0" applyFont="1" applyBorder="1"/>
    <xf numFmtId="0" fontId="2" fillId="0" borderId="12" xfId="0" applyFont="1" applyBorder="1"/>
    <xf numFmtId="0" fontId="0" fillId="0" borderId="12" xfId="0" applyBorder="1"/>
    <xf numFmtId="39" fontId="2" fillId="0" borderId="12" xfId="0" applyNumberFormat="1" applyFont="1" applyBorder="1"/>
    <xf numFmtId="4" fontId="2" fillId="0" borderId="12" xfId="0" applyNumberFormat="1" applyFont="1" applyBorder="1"/>
    <xf numFmtId="0" fontId="5" fillId="0" borderId="19" xfId="0" applyFont="1" applyBorder="1" applyAlignment="1">
      <alignment horizontal="center"/>
    </xf>
    <xf numFmtId="0" fontId="1" fillId="0" borderId="20" xfId="0" applyFont="1" applyBorder="1"/>
    <xf numFmtId="0" fontId="0" fillId="0" borderId="20" xfId="0" applyBorder="1"/>
    <xf numFmtId="1" fontId="1" fillId="0" borderId="0" xfId="0" applyNumberFormat="1" applyFont="1"/>
    <xf numFmtId="44" fontId="1" fillId="0" borderId="13" xfId="0" applyNumberFormat="1" applyFont="1" applyBorder="1"/>
    <xf numFmtId="4" fontId="1" fillId="0" borderId="0" xfId="0" applyNumberFormat="1" applyFont="1"/>
    <xf numFmtId="39" fontId="1" fillId="0" borderId="0" xfId="0" applyNumberFormat="1" applyFont="1"/>
    <xf numFmtId="44" fontId="1" fillId="0" borderId="16" xfId="0" applyNumberFormat="1" applyFont="1" applyBorder="1"/>
    <xf numFmtId="43" fontId="1" fillId="0" borderId="13" xfId="0" applyNumberFormat="1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6" xfId="0" applyFont="1" applyBorder="1"/>
    <xf numFmtId="0" fontId="1" fillId="0" borderId="7" xfId="0" applyFont="1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2" borderId="12" xfId="0" applyFont="1" applyFill="1" applyBorder="1"/>
    <xf numFmtId="0" fontId="1" fillId="0" borderId="2" xfId="0" applyFont="1" applyBorder="1"/>
    <xf numFmtId="1" fontId="1" fillId="0" borderId="1" xfId="0" applyNumberFormat="1" applyFont="1" applyBorder="1"/>
    <xf numFmtId="1" fontId="1" fillId="0" borderId="12" xfId="0" applyNumberFormat="1" applyFont="1" applyBorder="1"/>
    <xf numFmtId="1" fontId="1" fillId="0" borderId="20" xfId="0" applyNumberFormat="1" applyFont="1" applyBorder="1"/>
    <xf numFmtId="1" fontId="1" fillId="0" borderId="2" xfId="0" applyNumberFormat="1" applyFont="1" applyBorder="1"/>
    <xf numFmtId="44" fontId="1" fillId="0" borderId="14" xfId="0" applyNumberFormat="1" applyFont="1" applyBorder="1"/>
    <xf numFmtId="44" fontId="1" fillId="0" borderId="15" xfId="0" applyNumberFormat="1" applyFont="1" applyBorder="1"/>
    <xf numFmtId="4" fontId="1" fillId="0" borderId="1" xfId="0" applyNumberFormat="1" applyFont="1" applyBorder="1"/>
    <xf numFmtId="4" fontId="1" fillId="0" borderId="12" xfId="0" applyNumberFormat="1" applyFont="1" applyBorder="1"/>
    <xf numFmtId="4" fontId="1" fillId="0" borderId="20" xfId="0" applyNumberFormat="1" applyFont="1" applyBorder="1"/>
    <xf numFmtId="4" fontId="1" fillId="0" borderId="2" xfId="0" applyNumberFormat="1" applyFont="1" applyBorder="1"/>
    <xf numFmtId="43" fontId="1" fillId="0" borderId="0" xfId="0" applyNumberFormat="1" applyFont="1"/>
    <xf numFmtId="39" fontId="1" fillId="0" borderId="1" xfId="0" applyNumberFormat="1" applyFont="1" applyBorder="1"/>
    <xf numFmtId="39" fontId="1" fillId="0" borderId="12" xfId="0" applyNumberFormat="1" applyFont="1" applyBorder="1"/>
    <xf numFmtId="39" fontId="1" fillId="0" borderId="20" xfId="0" applyNumberFormat="1" applyFont="1" applyBorder="1"/>
    <xf numFmtId="39" fontId="1" fillId="0" borderId="2" xfId="0" applyNumberFormat="1" applyFont="1" applyBorder="1"/>
    <xf numFmtId="43" fontId="1" fillId="0" borderId="0" xfId="0" applyNumberFormat="1" applyFont="1" applyAlignment="1">
      <alignment horizontal="right"/>
    </xf>
    <xf numFmtId="44" fontId="1" fillId="0" borderId="17" xfId="0" applyNumberFormat="1" applyFont="1" applyBorder="1"/>
    <xf numFmtId="44" fontId="1" fillId="0" borderId="21" xfId="0" applyNumberFormat="1" applyFont="1" applyBorder="1"/>
    <xf numFmtId="44" fontId="1" fillId="0" borderId="18" xfId="0" applyNumberFormat="1" applyFont="1" applyBorder="1"/>
    <xf numFmtId="43" fontId="1" fillId="0" borderId="14" xfId="0" applyNumberFormat="1" applyFont="1" applyBorder="1"/>
    <xf numFmtId="43" fontId="1" fillId="0" borderId="15" xfId="0" applyNumberFormat="1" applyFont="1" applyBorder="1"/>
    <xf numFmtId="4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4" fontId="1" fillId="0" borderId="0" xfId="0" applyNumberFormat="1" applyFont="1"/>
    <xf numFmtId="0" fontId="1" fillId="0" borderId="3" xfId="0" applyFont="1" applyBorder="1" applyAlignment="1">
      <alignment vertical="center" wrapText="1"/>
    </xf>
    <xf numFmtId="0" fontId="1" fillId="0" borderId="4" xfId="0" applyFont="1" applyBorder="1"/>
    <xf numFmtId="0" fontId="1" fillId="0" borderId="12" xfId="0" applyFont="1" applyBorder="1" applyAlignment="1">
      <alignment horizontal="center" vertical="center"/>
    </xf>
    <xf numFmtId="44" fontId="1" fillId="0" borderId="22" xfId="0" applyNumberFormat="1" applyFont="1" applyBorder="1"/>
    <xf numFmtId="43" fontId="1" fillId="0" borderId="22" xfId="0" applyNumberFormat="1" applyFont="1" applyBorder="1"/>
    <xf numFmtId="0" fontId="0" fillId="0" borderId="12" xfId="0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0" fillId="0" borderId="3" xfId="0" applyBorder="1"/>
    <xf numFmtId="0" fontId="4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horizontal="center"/>
    </xf>
    <xf numFmtId="44" fontId="1" fillId="0" borderId="23" xfId="0" applyNumberFormat="1" applyFont="1" applyBorder="1"/>
    <xf numFmtId="0" fontId="1" fillId="3" borderId="12" xfId="0" applyFont="1" applyFill="1" applyBorder="1"/>
    <xf numFmtId="0" fontId="1" fillId="0" borderId="24" xfId="0" applyFont="1" applyBorder="1"/>
    <xf numFmtId="44" fontId="1" fillId="0" borderId="24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2" xfId="0" applyFont="1" applyBorder="1" applyAlignment="1">
      <alignment horizontal="right" vertical="center"/>
    </xf>
    <xf numFmtId="44" fontId="1" fillId="0" borderId="12" xfId="0" applyNumberFormat="1" applyFont="1" applyBorder="1"/>
    <xf numFmtId="0" fontId="4" fillId="0" borderId="25" xfId="0" applyFont="1" applyBorder="1" applyAlignment="1">
      <alignment horizontal="center"/>
    </xf>
    <xf numFmtId="43" fontId="1" fillId="0" borderId="26" xfId="0" applyNumberFormat="1" applyFont="1" applyBorder="1"/>
    <xf numFmtId="44" fontId="1" fillId="0" borderId="26" xfId="0" applyNumberFormat="1" applyFont="1" applyBorder="1"/>
    <xf numFmtId="44" fontId="1" fillId="0" borderId="27" xfId="0" applyNumberFormat="1" applyFont="1" applyBorder="1"/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1" fillId="0" borderId="28" xfId="0" applyFont="1" applyBorder="1"/>
    <xf numFmtId="1" fontId="1" fillId="0" borderId="28" xfId="0" applyNumberFormat="1" applyFont="1" applyBorder="1"/>
    <xf numFmtId="44" fontId="1" fillId="0" borderId="30" xfId="0" applyNumberFormat="1" applyFont="1" applyBorder="1"/>
    <xf numFmtId="4" fontId="1" fillId="0" borderId="28" xfId="0" applyNumberFormat="1" applyFont="1" applyBorder="1"/>
    <xf numFmtId="39" fontId="1" fillId="0" borderId="28" xfId="0" applyNumberFormat="1" applyFont="1" applyBorder="1"/>
    <xf numFmtId="44" fontId="1" fillId="0" borderId="31" xfId="0" applyNumberFormat="1" applyFont="1" applyBorder="1"/>
    <xf numFmtId="43" fontId="1" fillId="0" borderId="30" xfId="0" applyNumberFormat="1" applyFont="1" applyBorder="1"/>
    <xf numFmtId="0" fontId="2" fillId="0" borderId="28" xfId="0" applyFont="1" applyBorder="1" applyAlignment="1">
      <alignment horizontal="right" vertical="center"/>
    </xf>
    <xf numFmtId="44" fontId="1" fillId="0" borderId="32" xfId="0" applyNumberFormat="1" applyFont="1" applyBorder="1"/>
    <xf numFmtId="0" fontId="0" fillId="0" borderId="28" xfId="0" applyBorder="1"/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2D8AE-6222-41D9-B5C4-F3704E40FC66}">
  <sheetPr>
    <pageSetUpPr fitToPage="1"/>
  </sheetPr>
  <dimension ref="A1:EI1000"/>
  <sheetViews>
    <sheetView tabSelected="1" topLeftCell="B1" workbookViewId="0">
      <selection sqref="A1:A1048576"/>
    </sheetView>
  </sheetViews>
  <sheetFormatPr defaultColWidth="12.625" defaultRowHeight="15" customHeight="1" x14ac:dyDescent="0.2"/>
  <cols>
    <col min="1" max="1" width="43.75" hidden="1" customWidth="1"/>
    <col min="2" max="3" width="8" customWidth="1"/>
    <col min="4" max="4" width="45.625" customWidth="1"/>
    <col min="5" max="7" width="14.75" customWidth="1"/>
    <col min="8" max="16" width="14.75" hidden="1" customWidth="1"/>
    <col min="17" max="19" width="14.75" customWidth="1"/>
    <col min="20" max="20" width="14.75" hidden="1" customWidth="1"/>
    <col min="21" max="64" width="14.25" hidden="1" customWidth="1"/>
    <col min="65" max="67" width="17.75" hidden="1" customWidth="1"/>
    <col min="68" max="69" width="15.25" hidden="1" customWidth="1"/>
    <col min="70" max="94" width="13.25" hidden="1" customWidth="1"/>
    <col min="95" max="95" width="13.625" hidden="1" customWidth="1"/>
    <col min="96" max="96" width="13.25" hidden="1" customWidth="1"/>
    <col min="97" max="97" width="13.375" hidden="1" customWidth="1"/>
    <col min="98" max="104" width="13.25" hidden="1" customWidth="1"/>
    <col min="105" max="106" width="12.875" hidden="1" customWidth="1"/>
    <col min="107" max="107" width="14.25" hidden="1" customWidth="1"/>
    <col min="108" max="109" width="12.875" hidden="1" customWidth="1"/>
    <col min="110" max="111" width="15.5" hidden="1" customWidth="1"/>
    <col min="112" max="117" width="13.75" hidden="1" customWidth="1"/>
    <col min="118" max="118" width="13" hidden="1" customWidth="1"/>
    <col min="119" max="120" width="13.25" hidden="1" customWidth="1"/>
    <col min="121" max="121" width="12" hidden="1" customWidth="1"/>
    <col min="122" max="122" width="9.5" hidden="1" customWidth="1"/>
    <col min="123" max="124" width="12.875" hidden="1" customWidth="1"/>
    <col min="125" max="125" width="10.5" hidden="1" customWidth="1"/>
    <col min="126" max="130" width="11.875" hidden="1" customWidth="1"/>
    <col min="131" max="131" width="12.5" hidden="1" customWidth="1"/>
    <col min="132" max="134" width="9.75" hidden="1" customWidth="1"/>
    <col min="135" max="136" width="7.75" customWidth="1"/>
    <col min="137" max="139" width="8" customWidth="1"/>
  </cols>
  <sheetData>
    <row r="1" spans="1:139" ht="15.75" thickBot="1" x14ac:dyDescent="0.3">
      <c r="A1" s="1" t="s">
        <v>0</v>
      </c>
      <c r="B1" s="1" t="s">
        <v>1</v>
      </c>
      <c r="E1" s="2"/>
      <c r="F1" s="2">
        <v>2025</v>
      </c>
      <c r="P1" s="2"/>
      <c r="Q1" s="98"/>
      <c r="R1" s="73">
        <v>2024</v>
      </c>
      <c r="AB1" s="73"/>
      <c r="AH1" s="17"/>
      <c r="AN1" s="79"/>
      <c r="AO1" s="73"/>
      <c r="AQ1" s="17"/>
      <c r="AT1" s="17"/>
      <c r="AZ1" s="72"/>
      <c r="BE1" s="67"/>
      <c r="BG1" s="17"/>
      <c r="BH1" s="69"/>
      <c r="BL1" s="67">
        <v>2020</v>
      </c>
      <c r="BM1" s="13">
        <v>2020</v>
      </c>
      <c r="BQ1" s="3"/>
      <c r="BR1" s="1"/>
      <c r="BU1" s="85"/>
      <c r="BW1" s="30"/>
      <c r="BX1" s="99">
        <v>2019</v>
      </c>
      <c r="BY1" s="99"/>
      <c r="BZ1" s="99"/>
      <c r="CA1" s="99"/>
      <c r="CB1" s="99"/>
      <c r="CC1" s="99"/>
      <c r="CD1" s="99"/>
      <c r="CE1" s="99"/>
      <c r="CF1" s="99"/>
      <c r="CG1" s="99"/>
      <c r="CH1" s="99"/>
      <c r="CI1" s="99"/>
      <c r="CJ1" s="100">
        <v>2018</v>
      </c>
      <c r="CK1" s="100"/>
      <c r="CL1" s="100"/>
      <c r="CM1" s="100"/>
      <c r="CN1" s="100"/>
      <c r="CO1" s="100"/>
      <c r="CP1" s="100"/>
      <c r="CQ1" s="100"/>
      <c r="CR1" s="100"/>
      <c r="CS1" s="100"/>
      <c r="CT1" s="100"/>
      <c r="CU1" s="101"/>
      <c r="CV1" s="102">
        <v>2017</v>
      </c>
      <c r="CW1" s="99"/>
      <c r="CX1" s="99"/>
      <c r="CY1" s="99"/>
      <c r="CZ1" s="99"/>
      <c r="DA1" s="99"/>
      <c r="DB1" s="99"/>
      <c r="DC1" s="99"/>
      <c r="DD1" s="99"/>
      <c r="DE1" s="99"/>
      <c r="DF1" s="99"/>
      <c r="DG1" s="103"/>
      <c r="DH1" s="104"/>
      <c r="DI1" s="105"/>
      <c r="DJ1" s="31"/>
      <c r="DK1" s="31"/>
      <c r="DL1" s="31"/>
      <c r="DM1" s="31"/>
      <c r="DN1" s="31"/>
      <c r="DO1" s="86"/>
      <c r="DP1" s="87"/>
      <c r="DQ1" s="87"/>
      <c r="DR1" s="87"/>
      <c r="DS1" s="104">
        <v>2015</v>
      </c>
      <c r="DT1" s="105"/>
      <c r="DU1" s="106"/>
      <c r="DV1" s="86"/>
      <c r="DW1" s="32"/>
      <c r="DX1" s="87"/>
      <c r="DY1" s="87"/>
      <c r="DZ1" s="86"/>
      <c r="EA1" s="86"/>
      <c r="EB1" s="86"/>
      <c r="EC1" s="86"/>
      <c r="ED1" s="87"/>
    </row>
    <row r="2" spans="1:139" x14ac:dyDescent="0.25">
      <c r="E2" s="4" t="s">
        <v>11</v>
      </c>
      <c r="F2" s="4" t="s">
        <v>12</v>
      </c>
      <c r="G2" s="4" t="s">
        <v>13</v>
      </c>
      <c r="H2" s="4" t="s">
        <v>2</v>
      </c>
      <c r="I2" s="4" t="s">
        <v>3</v>
      </c>
      <c r="J2" s="4" t="s">
        <v>4</v>
      </c>
      <c r="K2" s="4" t="s">
        <v>5</v>
      </c>
      <c r="L2" s="4" t="s">
        <v>6</v>
      </c>
      <c r="M2" s="4" t="s">
        <v>7</v>
      </c>
      <c r="N2" s="4" t="s">
        <v>8</v>
      </c>
      <c r="O2" s="4" t="s">
        <v>9</v>
      </c>
      <c r="P2" s="4" t="s">
        <v>10</v>
      </c>
      <c r="Q2" s="88" t="s">
        <v>11</v>
      </c>
      <c r="R2" s="81" t="s">
        <v>12</v>
      </c>
      <c r="S2" s="81" t="s">
        <v>13</v>
      </c>
      <c r="T2" s="81" t="s">
        <v>2</v>
      </c>
      <c r="U2" s="81" t="s">
        <v>3</v>
      </c>
      <c r="V2" s="81" t="s">
        <v>4</v>
      </c>
      <c r="W2" s="81" t="s">
        <v>5</v>
      </c>
      <c r="X2" s="81" t="s">
        <v>6</v>
      </c>
      <c r="Y2" s="81" t="s">
        <v>7</v>
      </c>
      <c r="Z2" s="81" t="s">
        <v>8</v>
      </c>
      <c r="AA2" s="81" t="s">
        <v>9</v>
      </c>
      <c r="AB2" s="81" t="s">
        <v>10</v>
      </c>
      <c r="AC2" s="81" t="s">
        <v>11</v>
      </c>
      <c r="AD2" s="81" t="s">
        <v>12</v>
      </c>
      <c r="AE2" s="81" t="s">
        <v>13</v>
      </c>
      <c r="AF2" s="81" t="s">
        <v>2</v>
      </c>
      <c r="AG2" s="4" t="s">
        <v>3</v>
      </c>
      <c r="AH2" s="81" t="s">
        <v>4</v>
      </c>
      <c r="AI2" s="81" t="s">
        <v>5</v>
      </c>
      <c r="AJ2" s="81" t="s">
        <v>6</v>
      </c>
      <c r="AK2" s="4" t="s">
        <v>7</v>
      </c>
      <c r="AL2" s="4" t="s">
        <v>8</v>
      </c>
      <c r="AM2" s="4" t="s">
        <v>9</v>
      </c>
      <c r="AN2" s="4" t="s">
        <v>10</v>
      </c>
      <c r="AO2" s="4" t="s">
        <v>11</v>
      </c>
      <c r="AP2" s="4" t="s">
        <v>12</v>
      </c>
      <c r="AQ2" s="4" t="s">
        <v>13</v>
      </c>
      <c r="AR2" s="4" t="s">
        <v>2</v>
      </c>
      <c r="AS2" s="4" t="s">
        <v>14</v>
      </c>
      <c r="AT2" s="4" t="s">
        <v>15</v>
      </c>
      <c r="AU2" s="4" t="s">
        <v>5</v>
      </c>
      <c r="AV2" s="4" t="s">
        <v>6</v>
      </c>
      <c r="AW2" s="4" t="s">
        <v>7</v>
      </c>
      <c r="AX2" s="4" t="s">
        <v>8</v>
      </c>
      <c r="AY2" s="4" t="s">
        <v>9</v>
      </c>
      <c r="AZ2" s="4" t="s">
        <v>10</v>
      </c>
      <c r="BA2" s="4" t="s">
        <v>11</v>
      </c>
      <c r="BB2" s="4" t="s">
        <v>12</v>
      </c>
      <c r="BC2" s="4" t="s">
        <v>13</v>
      </c>
      <c r="BD2" s="4" t="s">
        <v>2</v>
      </c>
      <c r="BE2" s="5" t="s">
        <v>14</v>
      </c>
      <c r="BF2" s="5" t="s">
        <v>15</v>
      </c>
      <c r="BG2" s="5" t="s">
        <v>5</v>
      </c>
      <c r="BH2" s="68" t="s">
        <v>16</v>
      </c>
      <c r="BI2" s="5" t="s">
        <v>17</v>
      </c>
      <c r="BJ2" s="5" t="s">
        <v>18</v>
      </c>
      <c r="BK2" s="5" t="s">
        <v>19</v>
      </c>
      <c r="BL2" s="5" t="s">
        <v>20</v>
      </c>
      <c r="BM2" s="5" t="s">
        <v>21</v>
      </c>
      <c r="BN2" s="5" t="s">
        <v>22</v>
      </c>
      <c r="BO2" s="4" t="s">
        <v>23</v>
      </c>
      <c r="BP2" s="4" t="s">
        <v>24</v>
      </c>
      <c r="BQ2" s="5" t="s">
        <v>14</v>
      </c>
      <c r="BR2" s="5" t="s">
        <v>15</v>
      </c>
      <c r="BS2" s="5" t="s">
        <v>5</v>
      </c>
      <c r="BT2" s="34" t="s">
        <v>16</v>
      </c>
      <c r="BU2" s="5" t="s">
        <v>17</v>
      </c>
      <c r="BV2" s="5" t="s">
        <v>18</v>
      </c>
      <c r="BW2" s="5" t="s">
        <v>19</v>
      </c>
      <c r="BX2" s="5" t="s">
        <v>20</v>
      </c>
      <c r="BY2" s="5" t="s">
        <v>21</v>
      </c>
      <c r="BZ2" s="5" t="s">
        <v>22</v>
      </c>
      <c r="CA2" s="5" t="s">
        <v>23</v>
      </c>
      <c r="CB2" s="5" t="s">
        <v>24</v>
      </c>
      <c r="CC2" s="5" t="s">
        <v>14</v>
      </c>
      <c r="CD2" s="5" t="s">
        <v>15</v>
      </c>
      <c r="CE2" s="5" t="s">
        <v>5</v>
      </c>
      <c r="CF2" s="5" t="s">
        <v>16</v>
      </c>
      <c r="CG2" s="5" t="s">
        <v>17</v>
      </c>
      <c r="CH2" s="5" t="s">
        <v>18</v>
      </c>
      <c r="CI2" s="5" t="s">
        <v>19</v>
      </c>
      <c r="CJ2" s="5" t="s">
        <v>20</v>
      </c>
      <c r="CK2" s="5" t="s">
        <v>21</v>
      </c>
      <c r="CL2" s="5" t="s">
        <v>22</v>
      </c>
      <c r="CM2" s="5" t="s">
        <v>23</v>
      </c>
      <c r="CN2" s="5" t="s">
        <v>24</v>
      </c>
      <c r="CO2" s="5" t="s">
        <v>14</v>
      </c>
      <c r="CP2" s="5" t="s">
        <v>15</v>
      </c>
      <c r="CQ2" s="5" t="s">
        <v>5</v>
      </c>
      <c r="CR2" s="5" t="s">
        <v>16</v>
      </c>
      <c r="CS2" s="5" t="s">
        <v>17</v>
      </c>
      <c r="CT2" s="5" t="s">
        <v>18</v>
      </c>
      <c r="CU2" s="5" t="s">
        <v>19</v>
      </c>
      <c r="CV2" s="35" t="s">
        <v>20</v>
      </c>
      <c r="CW2" s="35" t="s">
        <v>21</v>
      </c>
      <c r="CX2" s="35" t="s">
        <v>22</v>
      </c>
      <c r="CY2" s="35" t="s">
        <v>23</v>
      </c>
      <c r="CZ2" s="35" t="s">
        <v>24</v>
      </c>
      <c r="DA2" s="35" t="s">
        <v>14</v>
      </c>
      <c r="DB2" s="35" t="s">
        <v>15</v>
      </c>
      <c r="DC2" s="35" t="s">
        <v>5</v>
      </c>
      <c r="DD2" s="35" t="s">
        <v>16</v>
      </c>
      <c r="DE2" s="35" t="s">
        <v>17</v>
      </c>
      <c r="DF2" s="35" t="s">
        <v>18</v>
      </c>
      <c r="DG2" s="35" t="s">
        <v>19</v>
      </c>
      <c r="DH2" s="35" t="s">
        <v>21</v>
      </c>
      <c r="DI2" s="35" t="s">
        <v>22</v>
      </c>
      <c r="DJ2" s="35" t="s">
        <v>23</v>
      </c>
      <c r="DK2" s="35" t="s">
        <v>24</v>
      </c>
      <c r="DL2" s="35" t="s">
        <v>14</v>
      </c>
      <c r="DM2" s="35" t="s">
        <v>15</v>
      </c>
      <c r="DN2" s="35" t="s">
        <v>5</v>
      </c>
      <c r="DO2" s="35" t="s">
        <v>16</v>
      </c>
      <c r="DP2" s="35" t="s">
        <v>17</v>
      </c>
      <c r="DQ2" s="35" t="s">
        <v>18</v>
      </c>
      <c r="DR2" s="35" t="s">
        <v>19</v>
      </c>
      <c r="DS2" s="35" t="s">
        <v>20</v>
      </c>
      <c r="DT2" s="35" t="s">
        <v>21</v>
      </c>
      <c r="DU2" s="35" t="s">
        <v>22</v>
      </c>
      <c r="DV2" s="35" t="s">
        <v>23</v>
      </c>
      <c r="DW2" s="35" t="s">
        <v>24</v>
      </c>
      <c r="DX2" s="35" t="s">
        <v>14</v>
      </c>
      <c r="DY2" s="35" t="s">
        <v>15</v>
      </c>
      <c r="DZ2" s="35" t="s">
        <v>5</v>
      </c>
      <c r="EA2" s="35" t="s">
        <v>16</v>
      </c>
      <c r="EB2" s="35" t="s">
        <v>17</v>
      </c>
      <c r="EC2" s="35" t="s">
        <v>18</v>
      </c>
      <c r="ED2" s="35" t="s">
        <v>19</v>
      </c>
    </row>
    <row r="3" spans="1:139" x14ac:dyDescent="0.25">
      <c r="A3" s="75" t="s">
        <v>25</v>
      </c>
      <c r="D3" s="1" t="s">
        <v>26</v>
      </c>
      <c r="E3" s="1">
        <f>259+18</f>
        <v>277</v>
      </c>
      <c r="F3" s="1">
        <f>257+18</f>
        <v>275</v>
      </c>
      <c r="G3" s="1">
        <f>259+18</f>
        <v>277</v>
      </c>
      <c r="H3" s="1">
        <f>256+18</f>
        <v>274</v>
      </c>
      <c r="I3" s="1">
        <f>259+18</f>
        <v>277</v>
      </c>
      <c r="J3" s="1">
        <f>260+18</f>
        <v>278</v>
      </c>
      <c r="K3" s="1">
        <f>262+17</f>
        <v>279</v>
      </c>
      <c r="L3" s="1">
        <f>259+17</f>
        <v>276</v>
      </c>
      <c r="M3" s="1">
        <f>254+17</f>
        <v>271</v>
      </c>
      <c r="N3" s="1">
        <f>252+17</f>
        <v>269</v>
      </c>
      <c r="O3" s="1">
        <f>256+17</f>
        <v>273</v>
      </c>
      <c r="P3" s="1">
        <f>268+17</f>
        <v>285</v>
      </c>
      <c r="Q3" s="89">
        <f>269+17</f>
        <v>286</v>
      </c>
      <c r="R3" s="15">
        <f>274+17</f>
        <v>291</v>
      </c>
      <c r="S3" s="15">
        <f>276+17</f>
        <v>293</v>
      </c>
      <c r="T3" s="15">
        <f>275+17</f>
        <v>292</v>
      </c>
      <c r="U3" s="15">
        <f>277+17</f>
        <v>294</v>
      </c>
      <c r="V3" s="15">
        <f>283+17</f>
        <v>300</v>
      </c>
      <c r="W3" s="15">
        <f>280+16</f>
        <v>296</v>
      </c>
      <c r="X3" s="15">
        <f>284+16</f>
        <v>300</v>
      </c>
      <c r="Y3" s="15">
        <f>289+16</f>
        <v>305</v>
      </c>
      <c r="Z3" s="15">
        <f>292+16</f>
        <v>308</v>
      </c>
      <c r="AA3" s="15">
        <f>294+16</f>
        <v>310</v>
      </c>
      <c r="AB3" s="15">
        <f>302+16</f>
        <v>318</v>
      </c>
      <c r="AC3" s="15">
        <f>302+17</f>
        <v>319</v>
      </c>
      <c r="AD3" s="15">
        <f>303+17</f>
        <v>320</v>
      </c>
      <c r="AE3" s="15">
        <f>307+17</f>
        <v>324</v>
      </c>
      <c r="AF3" s="15">
        <f>309+17</f>
        <v>326</v>
      </c>
      <c r="AG3" s="15">
        <f>307+17</f>
        <v>324</v>
      </c>
      <c r="AH3" s="15">
        <f>310+17</f>
        <v>327</v>
      </c>
      <c r="AI3" s="15">
        <f>317+17</f>
        <v>334</v>
      </c>
      <c r="AJ3" s="15">
        <f>324+17</f>
        <v>341</v>
      </c>
      <c r="AK3" s="15">
        <f>324+17</f>
        <v>341</v>
      </c>
      <c r="AL3" s="15">
        <f>324+17</f>
        <v>341</v>
      </c>
      <c r="AM3" s="15">
        <f>325+17</f>
        <v>342</v>
      </c>
      <c r="AN3" s="15">
        <f>325+17</f>
        <v>342</v>
      </c>
      <c r="AO3" s="15">
        <f>329+17</f>
        <v>346</v>
      </c>
      <c r="AP3" s="15">
        <f>324+17</f>
        <v>341</v>
      </c>
      <c r="AQ3" s="15">
        <f>326+17</f>
        <v>343</v>
      </c>
      <c r="AR3" s="15">
        <f>325+17</f>
        <v>342</v>
      </c>
      <c r="AS3" s="15">
        <f>322+17</f>
        <v>339</v>
      </c>
      <c r="AT3" s="15">
        <f>324+17</f>
        <v>341</v>
      </c>
      <c r="AU3" s="15">
        <f>326+17</f>
        <v>343</v>
      </c>
      <c r="AV3" s="15">
        <f>325+17</f>
        <v>342</v>
      </c>
      <c r="AW3" s="15">
        <f>326+17</f>
        <v>343</v>
      </c>
      <c r="AX3" s="15">
        <f>335+17</f>
        <v>352</v>
      </c>
      <c r="AY3" s="15">
        <f>329+17</f>
        <v>346</v>
      </c>
      <c r="AZ3" s="15">
        <f>336+17</f>
        <v>353</v>
      </c>
      <c r="BA3" s="15">
        <f>333+17</f>
        <v>350</v>
      </c>
      <c r="BB3" s="15">
        <f>338+17</f>
        <v>355</v>
      </c>
      <c r="BC3" s="15">
        <f>337+17</f>
        <v>354</v>
      </c>
      <c r="BD3" s="15">
        <f>327+17</f>
        <v>344</v>
      </c>
      <c r="BE3" s="15">
        <f>330+17</f>
        <v>347</v>
      </c>
      <c r="BF3" s="15">
        <f>332+17</f>
        <v>349</v>
      </c>
      <c r="BG3" s="15">
        <f>330+17</f>
        <v>347</v>
      </c>
      <c r="BH3" s="15">
        <f>335+17</f>
        <v>352</v>
      </c>
      <c r="BI3" s="15">
        <f>330+17</f>
        <v>347</v>
      </c>
      <c r="BJ3" s="15">
        <f>322+17</f>
        <v>339</v>
      </c>
      <c r="BK3" s="15">
        <f>317+17</f>
        <v>334</v>
      </c>
      <c r="BL3" s="15">
        <f>329+17</f>
        <v>346</v>
      </c>
      <c r="BM3" s="15">
        <f>320+17</f>
        <v>337</v>
      </c>
      <c r="BN3" s="15">
        <f>323+17</f>
        <v>340</v>
      </c>
      <c r="BO3" s="15">
        <f>319+17</f>
        <v>336</v>
      </c>
      <c r="BP3" s="1">
        <f>325+17</f>
        <v>342</v>
      </c>
      <c r="BQ3" s="1">
        <v>334</v>
      </c>
      <c r="BR3" s="1">
        <v>323</v>
      </c>
      <c r="BS3" s="1">
        <v>328</v>
      </c>
      <c r="BT3" s="37">
        <v>326</v>
      </c>
      <c r="BU3" s="1">
        <v>328</v>
      </c>
      <c r="BV3" s="1">
        <v>332</v>
      </c>
      <c r="BW3" s="1">
        <v>349</v>
      </c>
      <c r="BX3" s="1">
        <v>360</v>
      </c>
      <c r="BY3" s="1">
        <v>360</v>
      </c>
      <c r="BZ3" s="1">
        <v>363</v>
      </c>
      <c r="CA3" s="1">
        <v>371</v>
      </c>
      <c r="CB3" s="1">
        <v>378</v>
      </c>
      <c r="CC3" s="1">
        <v>374</v>
      </c>
      <c r="CD3" s="1">
        <v>375</v>
      </c>
      <c r="CE3" s="1">
        <v>376</v>
      </c>
      <c r="CF3" s="1">
        <v>383</v>
      </c>
      <c r="CG3" s="1">
        <v>387</v>
      </c>
      <c r="CH3" s="1">
        <v>386</v>
      </c>
      <c r="CI3" s="1">
        <v>392</v>
      </c>
      <c r="CJ3" s="1">
        <v>405</v>
      </c>
      <c r="CK3" s="1">
        <v>407</v>
      </c>
      <c r="CL3" s="1">
        <v>399</v>
      </c>
      <c r="CM3" s="1">
        <v>396</v>
      </c>
      <c r="CN3" s="1">
        <v>396</v>
      </c>
      <c r="CO3" s="1">
        <v>397</v>
      </c>
      <c r="CP3" s="1">
        <v>400</v>
      </c>
      <c r="CQ3" s="1">
        <v>395</v>
      </c>
      <c r="CR3" s="1">
        <v>387</v>
      </c>
      <c r="CS3" s="1">
        <v>385</v>
      </c>
      <c r="CT3" s="1">
        <v>392</v>
      </c>
      <c r="CU3" s="1">
        <v>397</v>
      </c>
      <c r="CV3" s="1">
        <v>418</v>
      </c>
      <c r="CW3" s="1">
        <v>417</v>
      </c>
      <c r="CX3" s="1">
        <v>421</v>
      </c>
      <c r="CY3" s="1">
        <f>412+14</f>
        <v>426</v>
      </c>
      <c r="CZ3" s="1">
        <v>417</v>
      </c>
      <c r="DA3" s="1">
        <v>424</v>
      </c>
      <c r="DB3" s="1">
        <v>424</v>
      </c>
      <c r="DC3" s="1">
        <v>420</v>
      </c>
      <c r="DD3" s="1">
        <v>420</v>
      </c>
      <c r="DE3" s="1">
        <v>423</v>
      </c>
      <c r="DF3" s="1">
        <f>404+13</f>
        <v>417</v>
      </c>
      <c r="DG3" s="1">
        <v>421</v>
      </c>
      <c r="DH3" s="1">
        <v>451</v>
      </c>
      <c r="DI3" s="1">
        <f>433+13</f>
        <v>446</v>
      </c>
      <c r="DJ3" s="1">
        <f>428+13</f>
        <v>441</v>
      </c>
      <c r="DK3" s="1">
        <v>439</v>
      </c>
      <c r="DL3" s="1">
        <v>431</v>
      </c>
      <c r="DM3" s="1">
        <v>440</v>
      </c>
      <c r="DN3" s="1">
        <v>445</v>
      </c>
      <c r="DO3" s="1">
        <v>441</v>
      </c>
      <c r="DP3" s="1">
        <v>444</v>
      </c>
      <c r="DQ3" s="1">
        <v>441</v>
      </c>
      <c r="DR3" s="1">
        <v>449</v>
      </c>
      <c r="DS3" s="1">
        <v>440</v>
      </c>
      <c r="DT3" s="1">
        <v>438</v>
      </c>
      <c r="DU3" s="1">
        <v>437</v>
      </c>
      <c r="DV3" s="1">
        <v>435</v>
      </c>
      <c r="DW3" s="1">
        <v>433</v>
      </c>
      <c r="DX3" s="1">
        <v>432</v>
      </c>
      <c r="DY3" s="1">
        <v>430</v>
      </c>
      <c r="DZ3" s="1">
        <v>428</v>
      </c>
      <c r="EA3" s="1">
        <v>430</v>
      </c>
      <c r="EB3" s="1">
        <v>426</v>
      </c>
      <c r="EC3" s="1">
        <v>428</v>
      </c>
      <c r="ED3" s="1">
        <v>439</v>
      </c>
    </row>
    <row r="4" spans="1:139" x14ac:dyDescent="0.25">
      <c r="A4" s="75" t="s">
        <v>27</v>
      </c>
      <c r="D4" s="1" t="s">
        <v>28</v>
      </c>
      <c r="E4" s="23">
        <f t="shared" ref="E4:O4" si="0">AVERAGE(E3:G3)</f>
        <v>276.33333333333331</v>
      </c>
      <c r="F4" s="23">
        <f t="shared" si="0"/>
        <v>275.33333333333331</v>
      </c>
      <c r="G4" s="23">
        <f t="shared" si="0"/>
        <v>276</v>
      </c>
      <c r="H4" s="23">
        <f t="shared" si="0"/>
        <v>276.33333333333331</v>
      </c>
      <c r="I4" s="23">
        <f t="shared" si="0"/>
        <v>278</v>
      </c>
      <c r="J4" s="23">
        <f t="shared" si="0"/>
        <v>277.66666666666669</v>
      </c>
      <c r="K4" s="23">
        <f t="shared" si="0"/>
        <v>275.33333333333331</v>
      </c>
      <c r="L4" s="23">
        <f t="shared" si="0"/>
        <v>272</v>
      </c>
      <c r="M4" s="23">
        <f t="shared" si="0"/>
        <v>271</v>
      </c>
      <c r="N4" s="23">
        <f t="shared" si="0"/>
        <v>275.66666666666669</v>
      </c>
      <c r="O4" s="23">
        <f t="shared" si="0"/>
        <v>281.33333333333331</v>
      </c>
      <c r="P4" s="23">
        <f t="shared" ref="P4:Y4" si="1">AVERAGE(P3:R3)</f>
        <v>287.33333333333331</v>
      </c>
      <c r="Q4" s="90">
        <f t="shared" si="1"/>
        <v>290</v>
      </c>
      <c r="R4" s="39">
        <f t="shared" si="1"/>
        <v>292</v>
      </c>
      <c r="S4" s="39">
        <f t="shared" si="1"/>
        <v>293</v>
      </c>
      <c r="T4" s="39">
        <f t="shared" si="1"/>
        <v>295.33333333333331</v>
      </c>
      <c r="U4" s="39">
        <f t="shared" si="1"/>
        <v>296.66666666666669</v>
      </c>
      <c r="V4" s="39">
        <f t="shared" si="1"/>
        <v>298.66666666666669</v>
      </c>
      <c r="W4" s="39">
        <f t="shared" si="1"/>
        <v>300.33333333333331</v>
      </c>
      <c r="X4" s="39">
        <f t="shared" si="1"/>
        <v>304.33333333333331</v>
      </c>
      <c r="Y4" s="39">
        <f t="shared" si="1"/>
        <v>307.66666666666669</v>
      </c>
      <c r="Z4" s="39">
        <f>AVERAGE(Z3:AA3)</f>
        <v>309</v>
      </c>
      <c r="AA4" s="39">
        <f>AVERAGE(AA3:AA3)</f>
        <v>310</v>
      </c>
      <c r="AB4" s="39">
        <f t="shared" ref="AB4:AK4" si="2">AVERAGE(AB3:AD3)</f>
        <v>319</v>
      </c>
      <c r="AC4" s="39">
        <f t="shared" si="2"/>
        <v>321</v>
      </c>
      <c r="AD4" s="39">
        <f t="shared" si="2"/>
        <v>323.33333333333331</v>
      </c>
      <c r="AE4" s="39">
        <f t="shared" si="2"/>
        <v>324.66666666666669</v>
      </c>
      <c r="AF4" s="39">
        <f t="shared" si="2"/>
        <v>325.66666666666669</v>
      </c>
      <c r="AG4" s="39">
        <f t="shared" si="2"/>
        <v>328.33333333333331</v>
      </c>
      <c r="AH4" s="39">
        <f t="shared" si="2"/>
        <v>334</v>
      </c>
      <c r="AI4" s="39">
        <f t="shared" si="2"/>
        <v>338.66666666666669</v>
      </c>
      <c r="AJ4" s="39">
        <f t="shared" si="2"/>
        <v>341</v>
      </c>
      <c r="AK4" s="39">
        <f t="shared" si="2"/>
        <v>341.33333333333331</v>
      </c>
      <c r="AL4" s="39">
        <f>AVERAGE(AL3:AM3)</f>
        <v>341.5</v>
      </c>
      <c r="AM4" s="39">
        <f>AVERAGE(AM3:AM3)</f>
        <v>342</v>
      </c>
      <c r="AN4" s="39">
        <f t="shared" ref="AN4:BH4" si="3">AVERAGE(AN3:AQ3)</f>
        <v>343</v>
      </c>
      <c r="AO4" s="39">
        <f t="shared" si="3"/>
        <v>343</v>
      </c>
      <c r="AP4" s="39">
        <f t="shared" si="3"/>
        <v>341.25</v>
      </c>
      <c r="AQ4" s="39">
        <f t="shared" si="3"/>
        <v>341.25</v>
      </c>
      <c r="AR4" s="39">
        <f t="shared" si="3"/>
        <v>341.25</v>
      </c>
      <c r="AS4" s="39">
        <f t="shared" si="3"/>
        <v>341.25</v>
      </c>
      <c r="AT4" s="39">
        <f t="shared" si="3"/>
        <v>342.25</v>
      </c>
      <c r="AU4" s="39">
        <f t="shared" si="3"/>
        <v>345</v>
      </c>
      <c r="AV4" s="39">
        <f t="shared" si="3"/>
        <v>345.75</v>
      </c>
      <c r="AW4" s="39">
        <f t="shared" si="3"/>
        <v>348.5</v>
      </c>
      <c r="AX4" s="39">
        <f t="shared" si="3"/>
        <v>350.25</v>
      </c>
      <c r="AY4" s="39">
        <f t="shared" si="3"/>
        <v>351</v>
      </c>
      <c r="AZ4" s="39">
        <f t="shared" si="3"/>
        <v>353</v>
      </c>
      <c r="BA4" s="39">
        <f t="shared" si="3"/>
        <v>350.75</v>
      </c>
      <c r="BB4" s="39">
        <f t="shared" si="3"/>
        <v>350</v>
      </c>
      <c r="BC4" s="39">
        <f t="shared" si="3"/>
        <v>348.5</v>
      </c>
      <c r="BD4" s="39">
        <f t="shared" si="3"/>
        <v>346.75</v>
      </c>
      <c r="BE4" s="39">
        <f t="shared" si="3"/>
        <v>348.75</v>
      </c>
      <c r="BF4" s="39">
        <f t="shared" si="3"/>
        <v>348.75</v>
      </c>
      <c r="BG4" s="39">
        <f t="shared" si="3"/>
        <v>346.25</v>
      </c>
      <c r="BH4" s="39">
        <f t="shared" si="3"/>
        <v>343</v>
      </c>
      <c r="BI4" s="39">
        <f>AVERAGE(BI3:BK3)</f>
        <v>340</v>
      </c>
      <c r="BJ4" s="39">
        <f>AVERAGE(BJ3:BK3)</f>
        <v>336.5</v>
      </c>
      <c r="BK4" s="39">
        <f>AVERAGE(BK3)</f>
        <v>334</v>
      </c>
      <c r="BL4" s="39">
        <f t="shared" ref="BL4:BQ4" si="4">AVERAGE(BL3:BR3)</f>
        <v>336.85714285714283</v>
      </c>
      <c r="BM4" s="39">
        <f t="shared" si="4"/>
        <v>334.28571428571428</v>
      </c>
      <c r="BN4" s="39">
        <f t="shared" si="4"/>
        <v>332.71428571428572</v>
      </c>
      <c r="BO4" s="39">
        <f t="shared" si="4"/>
        <v>331</v>
      </c>
      <c r="BP4" s="39">
        <f t="shared" si="4"/>
        <v>330.42857142857144</v>
      </c>
      <c r="BQ4" s="23">
        <f t="shared" si="4"/>
        <v>331.42857142857144</v>
      </c>
      <c r="BR4" s="23">
        <f>AVERAGE(BR3:BW3)</f>
        <v>331</v>
      </c>
      <c r="BS4" s="23">
        <f>AVERAGE(BS3:BW3)</f>
        <v>332.6</v>
      </c>
      <c r="BT4" s="41">
        <f>AVERAGE(BT3:BW3)</f>
        <v>333.75</v>
      </c>
      <c r="BU4" s="23">
        <f>AVERAGE(BU3:BW3)</f>
        <v>336.33333333333331</v>
      </c>
      <c r="BV4" s="23">
        <f>AVERAGE(BV3:BW3)</f>
        <v>340.5</v>
      </c>
      <c r="BW4" s="23">
        <f>AVERAGE(BW3)</f>
        <v>349</v>
      </c>
      <c r="BX4" s="23">
        <f>AVERAGE(BX3:CI3)</f>
        <v>375.41666666666669</v>
      </c>
      <c r="BY4" s="23">
        <f>AVERAGE(BY3:CI3)</f>
        <v>376.81818181818181</v>
      </c>
      <c r="BZ4" s="23">
        <f>AVERAGE(BZ3:CI3)</f>
        <v>378.5</v>
      </c>
      <c r="CA4" s="23">
        <f>AVERAGE(CA3:CI3)</f>
        <v>380.22222222222223</v>
      </c>
      <c r="CB4" s="23">
        <f>AVERAGE(CB3:CI3)</f>
        <v>381.375</v>
      </c>
      <c r="CC4" s="23">
        <f>AVERAGE(CC3:CI3)</f>
        <v>381.85714285714283</v>
      </c>
      <c r="CD4" s="23">
        <f>AVERAGE(CD3:CI3)</f>
        <v>383.16666666666669</v>
      </c>
      <c r="CE4" s="23">
        <f>AVERAGE(CE3:CI3)</f>
        <v>384.8</v>
      </c>
      <c r="CF4" s="23">
        <f>AVERAGE(CF3:CI3)</f>
        <v>387</v>
      </c>
      <c r="CG4" s="23">
        <f>AVERAGE(CG3:CI3)</f>
        <v>388.33333333333331</v>
      </c>
      <c r="CH4" s="23">
        <f>AVERAGE(CH3:CI3)</f>
        <v>389</v>
      </c>
      <c r="CI4" s="23">
        <f>AVERAGE(CI3)</f>
        <v>392</v>
      </c>
      <c r="CJ4" s="23">
        <f>AVERAGE(CJ3:CU3)</f>
        <v>396.33333333333331</v>
      </c>
      <c r="CK4" s="23">
        <f>AVERAGE(CK3:CU3)</f>
        <v>395.54545454545456</v>
      </c>
      <c r="CL4" s="23">
        <f>AVERAGE(CL3:CU3)</f>
        <v>394.4</v>
      </c>
      <c r="CM4" s="23">
        <f>AVERAGE(CM3:CU3)</f>
        <v>393.88888888888891</v>
      </c>
      <c r="CN4" s="23">
        <f>AVERAGE(CN3:CU3)</f>
        <v>393.625</v>
      </c>
      <c r="CO4" s="23">
        <f>AVERAGE(CO3:CU3)</f>
        <v>393.28571428571428</v>
      </c>
      <c r="CP4" s="23">
        <f>AVERAGE(CP3:CU3)</f>
        <v>392.66666666666669</v>
      </c>
      <c r="CQ4" s="23">
        <f>AVERAGE(CQ3:CU3)</f>
        <v>391.2</v>
      </c>
      <c r="CR4" s="23">
        <f>AVERAGE(CR3:CU3)</f>
        <v>390.25</v>
      </c>
      <c r="CS4" s="23">
        <f>AVERAGE(CS3:CU3)</f>
        <v>391.33333333333331</v>
      </c>
      <c r="CT4" s="23">
        <f>AVERAGE(CT3:CU3)</f>
        <v>394.5</v>
      </c>
      <c r="CU4" s="23">
        <f>AVERAGE(CU3)</f>
        <v>397</v>
      </c>
      <c r="CV4" s="23">
        <f>AVERAGE(CV3:DG3)</f>
        <v>420.66666666666669</v>
      </c>
      <c r="CW4" s="23">
        <f>AVERAGE(CW3:DG3)</f>
        <v>420.90909090909093</v>
      </c>
      <c r="CX4" s="23">
        <f>AVERAGE(CX3:DG3)</f>
        <v>421.3</v>
      </c>
      <c r="CY4" s="23">
        <f>AVERAGE(CY3:DG3)</f>
        <v>421.33333333333331</v>
      </c>
      <c r="CZ4" s="23">
        <f>AVERAGE(CZ3:DG3)</f>
        <v>420.75</v>
      </c>
      <c r="DA4" s="23">
        <f>AVERAGE(DA3:DG3)</f>
        <v>421.28571428571428</v>
      </c>
      <c r="DB4" s="23">
        <f>AVERAGE(DB3:DG3)</f>
        <v>420.83333333333331</v>
      </c>
      <c r="DC4" s="23">
        <f>AVERAGE(DC3:DG3)</f>
        <v>420.2</v>
      </c>
      <c r="DD4" s="23">
        <f>AVERAGE(DD3:DG3)</f>
        <v>420.25</v>
      </c>
      <c r="DE4" s="23">
        <f>AVERAGE(DE3:DG3)</f>
        <v>420.33333333333331</v>
      </c>
      <c r="DF4" s="23">
        <f>AVERAGE(DF3:DG3)</f>
        <v>419</v>
      </c>
      <c r="DG4" s="23">
        <f>AVERAGE(DG3)</f>
        <v>421</v>
      </c>
      <c r="DH4" s="23">
        <f>AVERAGE(DH3:DR3)</f>
        <v>442.54545454545456</v>
      </c>
      <c r="DI4" s="23">
        <f>AVERAGE(DI3:DR3)</f>
        <v>441.7</v>
      </c>
      <c r="DJ4" s="23">
        <f>AVERAGE(DJ3:DR3)</f>
        <v>441.22222222222223</v>
      </c>
      <c r="DK4" s="23">
        <f>AVERAGE(DK3:DR3)</f>
        <v>441.25</v>
      </c>
      <c r="DL4" s="23">
        <f>AVERAGE(DL3:DR3)</f>
        <v>441.57142857142856</v>
      </c>
      <c r="DM4" s="23">
        <f>AVERAGE(DM3:DR3)</f>
        <v>443.33333333333331</v>
      </c>
      <c r="DN4" s="23">
        <f>AVERAGE(DN3:DR3)</f>
        <v>444</v>
      </c>
      <c r="DO4" s="23">
        <f>AVERAGE(DO3:DR3)</f>
        <v>443.75</v>
      </c>
      <c r="DP4" s="23">
        <f>AVERAGE(DP3:DR3)</f>
        <v>444.66666666666669</v>
      </c>
      <c r="DQ4" s="23">
        <f>AVERAGE(DQ3:DR3)</f>
        <v>445</v>
      </c>
      <c r="DR4" s="23">
        <f>+DR3</f>
        <v>449</v>
      </c>
      <c r="DS4" s="23">
        <f>AVERAGE(DT3:ED3)</f>
        <v>432.36363636363637</v>
      </c>
      <c r="DT4" s="23">
        <f>AVERAGE(DT3:ED3)</f>
        <v>432.36363636363637</v>
      </c>
      <c r="DU4" s="23">
        <f>AVERAGE(DU3:ED3)</f>
        <v>431.8</v>
      </c>
      <c r="DV4" s="23">
        <f>AVERAGE(DV3:ED3)</f>
        <v>431.22222222222223</v>
      </c>
      <c r="DW4" s="23">
        <f>AVERAGE(DW3:ED3)</f>
        <v>430.75</v>
      </c>
      <c r="DX4" s="23">
        <f>AVERAGE(DX3:ED3)</f>
        <v>430.42857142857144</v>
      </c>
      <c r="DY4" s="23">
        <f>AVERAGE(DY3:ED3)</f>
        <v>430.16666666666669</v>
      </c>
      <c r="DZ4" s="23">
        <f>AVERAGE(DZ3:ED3)</f>
        <v>430.2</v>
      </c>
      <c r="EA4" s="23">
        <f>AVERAGE(EA3:ED3)</f>
        <v>430.75</v>
      </c>
      <c r="EB4" s="23">
        <f t="shared" ref="EB4:EC4" si="5">AVERAGE(EB3:EC3)</f>
        <v>427</v>
      </c>
      <c r="EC4" s="23">
        <f t="shared" si="5"/>
        <v>433.5</v>
      </c>
      <c r="ED4" s="1">
        <f>+ED3</f>
        <v>439</v>
      </c>
      <c r="EF4" s="17"/>
    </row>
    <row r="5" spans="1:139" x14ac:dyDescent="0.25">
      <c r="A5" s="1" t="s">
        <v>29</v>
      </c>
      <c r="D5" s="1" t="s">
        <v>30</v>
      </c>
      <c r="E5" s="1">
        <f t="shared" ref="E5:AA5" si="6">347+16</f>
        <v>363</v>
      </c>
      <c r="F5" s="1">
        <f t="shared" si="6"/>
        <v>363</v>
      </c>
      <c r="G5" s="1">
        <f t="shared" si="6"/>
        <v>363</v>
      </c>
      <c r="H5" s="1">
        <f t="shared" si="6"/>
        <v>363</v>
      </c>
      <c r="I5" s="1">
        <f t="shared" si="6"/>
        <v>363</v>
      </c>
      <c r="J5" s="1">
        <f t="shared" si="6"/>
        <v>363</v>
      </c>
      <c r="K5" s="1">
        <f t="shared" si="6"/>
        <v>363</v>
      </c>
      <c r="L5" s="1">
        <f t="shared" si="6"/>
        <v>363</v>
      </c>
      <c r="M5" s="1">
        <f t="shared" si="6"/>
        <v>363</v>
      </c>
      <c r="N5" s="1">
        <f t="shared" si="6"/>
        <v>363</v>
      </c>
      <c r="O5" s="1">
        <f t="shared" si="6"/>
        <v>363</v>
      </c>
      <c r="P5" s="1">
        <f t="shared" si="6"/>
        <v>363</v>
      </c>
      <c r="Q5" s="89">
        <f t="shared" si="6"/>
        <v>363</v>
      </c>
      <c r="R5" s="15">
        <f t="shared" si="6"/>
        <v>363</v>
      </c>
      <c r="S5" s="15">
        <f t="shared" si="6"/>
        <v>363</v>
      </c>
      <c r="T5" s="15">
        <f t="shared" si="6"/>
        <v>363</v>
      </c>
      <c r="U5" s="15">
        <f t="shared" si="6"/>
        <v>363</v>
      </c>
      <c r="V5" s="15">
        <f t="shared" si="6"/>
        <v>363</v>
      </c>
      <c r="W5" s="15">
        <f t="shared" si="6"/>
        <v>363</v>
      </c>
      <c r="X5" s="15">
        <f t="shared" si="6"/>
        <v>363</v>
      </c>
      <c r="Y5" s="15">
        <f t="shared" si="6"/>
        <v>363</v>
      </c>
      <c r="Z5" s="15">
        <f t="shared" si="6"/>
        <v>363</v>
      </c>
      <c r="AA5" s="15">
        <f t="shared" si="6"/>
        <v>363</v>
      </c>
      <c r="AB5" s="15">
        <v>407</v>
      </c>
      <c r="AC5" s="15">
        <v>407</v>
      </c>
      <c r="AD5" s="15">
        <v>407</v>
      </c>
      <c r="AE5" s="15">
        <v>407</v>
      </c>
      <c r="AF5" s="15">
        <v>407</v>
      </c>
      <c r="AG5" s="15">
        <v>407</v>
      </c>
      <c r="AH5" s="15">
        <v>407</v>
      </c>
      <c r="AI5" s="15">
        <v>407</v>
      </c>
      <c r="AJ5" s="15">
        <v>407</v>
      </c>
      <c r="AK5" s="15">
        <v>407</v>
      </c>
      <c r="AL5" s="15">
        <v>407</v>
      </c>
      <c r="AM5" s="15">
        <v>407</v>
      </c>
      <c r="AN5" s="15">
        <v>382</v>
      </c>
      <c r="AO5" s="15">
        <v>382</v>
      </c>
      <c r="AP5" s="15">
        <v>382</v>
      </c>
      <c r="AQ5" s="15">
        <v>382</v>
      </c>
      <c r="AR5" s="15">
        <v>382</v>
      </c>
      <c r="AS5" s="15">
        <v>382</v>
      </c>
      <c r="AT5" s="15">
        <v>382</v>
      </c>
      <c r="AU5" s="15">
        <v>382</v>
      </c>
      <c r="AV5" s="15">
        <v>382</v>
      </c>
      <c r="AW5" s="15">
        <v>382</v>
      </c>
      <c r="AX5" s="15">
        <v>382</v>
      </c>
      <c r="AY5" s="15">
        <v>382</v>
      </c>
      <c r="AZ5" s="15">
        <v>382</v>
      </c>
      <c r="BA5" s="15">
        <v>382</v>
      </c>
      <c r="BB5" s="15">
        <v>382</v>
      </c>
      <c r="BC5" s="15">
        <v>382</v>
      </c>
      <c r="BD5" s="15">
        <v>382</v>
      </c>
      <c r="BE5" s="17">
        <v>382</v>
      </c>
      <c r="BF5" s="15">
        <v>382</v>
      </c>
      <c r="BG5" s="15">
        <v>382</v>
      </c>
      <c r="BH5" s="15">
        <v>382</v>
      </c>
      <c r="BI5" s="15">
        <v>382</v>
      </c>
      <c r="BJ5" s="15">
        <v>382</v>
      </c>
      <c r="BK5" s="15">
        <v>382</v>
      </c>
      <c r="BL5" s="15">
        <v>363</v>
      </c>
      <c r="BM5" s="15">
        <v>363</v>
      </c>
      <c r="BN5" s="15">
        <v>363</v>
      </c>
      <c r="BO5" s="14">
        <v>363</v>
      </c>
      <c r="BP5" s="16">
        <v>363</v>
      </c>
      <c r="BQ5" s="1">
        <v>363</v>
      </c>
      <c r="BR5" s="1">
        <v>363</v>
      </c>
      <c r="BS5" s="1">
        <v>363</v>
      </c>
      <c r="BT5" s="37">
        <v>363</v>
      </c>
      <c r="BU5" s="1">
        <v>363</v>
      </c>
      <c r="BV5" s="1">
        <v>363</v>
      </c>
      <c r="BW5" s="1">
        <v>363</v>
      </c>
      <c r="BX5" s="1">
        <v>415</v>
      </c>
      <c r="BY5" s="1">
        <v>415</v>
      </c>
      <c r="BZ5" s="1">
        <v>415</v>
      </c>
      <c r="CA5" s="1">
        <v>415</v>
      </c>
      <c r="CB5" s="1">
        <v>415</v>
      </c>
      <c r="CC5" s="1">
        <v>415</v>
      </c>
      <c r="CD5" s="1">
        <v>415</v>
      </c>
      <c r="CE5" s="1">
        <v>415</v>
      </c>
      <c r="CF5" s="1">
        <v>415</v>
      </c>
      <c r="CG5" s="1">
        <v>415</v>
      </c>
      <c r="CH5" s="1">
        <v>415</v>
      </c>
      <c r="CI5" s="1">
        <v>415</v>
      </c>
      <c r="CJ5" s="1">
        <v>415</v>
      </c>
      <c r="CK5" s="1">
        <v>415</v>
      </c>
      <c r="CL5" s="1">
        <v>415</v>
      </c>
      <c r="CM5" s="1">
        <v>415</v>
      </c>
      <c r="CN5" s="1">
        <v>415</v>
      </c>
      <c r="CO5" s="1">
        <v>415</v>
      </c>
      <c r="CP5" s="1">
        <v>415</v>
      </c>
      <c r="CQ5" s="1">
        <v>415</v>
      </c>
      <c r="CR5" s="1">
        <v>415</v>
      </c>
      <c r="CS5" s="1">
        <v>415</v>
      </c>
      <c r="CT5" s="1">
        <v>415</v>
      </c>
      <c r="CU5" s="1">
        <v>415</v>
      </c>
      <c r="CV5" s="1">
        <v>445</v>
      </c>
      <c r="CW5" s="1">
        <v>445</v>
      </c>
      <c r="CX5" s="1">
        <v>445</v>
      </c>
      <c r="CY5" s="1">
        <v>445</v>
      </c>
      <c r="CZ5" s="1">
        <v>445</v>
      </c>
      <c r="DA5" s="1">
        <v>445</v>
      </c>
      <c r="DB5" s="1">
        <v>445</v>
      </c>
      <c r="DC5" s="1">
        <v>445</v>
      </c>
      <c r="DD5" s="1">
        <v>445</v>
      </c>
      <c r="DE5" s="1">
        <v>445</v>
      </c>
      <c r="DF5" s="1">
        <v>445</v>
      </c>
      <c r="DG5" s="1">
        <v>445</v>
      </c>
      <c r="DH5" s="1">
        <v>461</v>
      </c>
      <c r="DI5" s="1">
        <v>461</v>
      </c>
      <c r="DJ5" s="1">
        <v>461</v>
      </c>
      <c r="DK5" s="1">
        <v>461</v>
      </c>
      <c r="DL5" s="1">
        <v>461</v>
      </c>
      <c r="DM5" s="1">
        <v>461</v>
      </c>
      <c r="DN5" s="1">
        <v>461</v>
      </c>
      <c r="DO5" s="1">
        <v>461</v>
      </c>
      <c r="DP5" s="1">
        <v>461</v>
      </c>
      <c r="DQ5" s="1">
        <v>461</v>
      </c>
      <c r="DR5" s="1">
        <v>461</v>
      </c>
      <c r="DS5" s="1">
        <v>460</v>
      </c>
      <c r="DT5" s="1">
        <v>460</v>
      </c>
      <c r="DU5" s="1">
        <v>460</v>
      </c>
      <c r="DV5" s="1">
        <v>460</v>
      </c>
      <c r="DW5" s="1">
        <v>460</v>
      </c>
      <c r="DX5" s="1">
        <v>460</v>
      </c>
      <c r="DY5" s="1">
        <v>460</v>
      </c>
      <c r="DZ5" s="1">
        <v>460</v>
      </c>
      <c r="EA5" s="1">
        <v>460</v>
      </c>
      <c r="EB5" s="1">
        <v>460</v>
      </c>
      <c r="EC5" s="1">
        <v>460</v>
      </c>
      <c r="ED5" s="1">
        <v>460</v>
      </c>
      <c r="EE5" s="17"/>
      <c r="EF5" s="17"/>
      <c r="EG5" s="17"/>
    </row>
    <row r="6" spans="1:139" x14ac:dyDescent="0.25">
      <c r="A6" s="1" t="s">
        <v>31</v>
      </c>
      <c r="D6" s="1" t="s">
        <v>32</v>
      </c>
      <c r="E6" s="23">
        <f t="shared" ref="E6" si="7">+E4-E5</f>
        <v>-86.666666666666686</v>
      </c>
      <c r="F6" s="23">
        <f t="shared" ref="F6:G6" si="8">+F4-F5</f>
        <v>-87.666666666666686</v>
      </c>
      <c r="G6" s="23">
        <f t="shared" si="8"/>
        <v>-87</v>
      </c>
      <c r="H6" s="23">
        <f t="shared" ref="H6:I6" si="9">+H4-H5</f>
        <v>-86.666666666666686</v>
      </c>
      <c r="I6" s="23">
        <f t="shared" si="9"/>
        <v>-85</v>
      </c>
      <c r="J6" s="23">
        <f t="shared" ref="J6:K6" si="10">+J4-J5</f>
        <v>-85.333333333333314</v>
      </c>
      <c r="K6" s="23">
        <f t="shared" si="10"/>
        <v>-87.666666666666686</v>
      </c>
      <c r="L6" s="23">
        <f t="shared" ref="L6:M6" si="11">+L4-L5</f>
        <v>-91</v>
      </c>
      <c r="M6" s="23">
        <f t="shared" si="11"/>
        <v>-92</v>
      </c>
      <c r="N6" s="23">
        <f t="shared" ref="N6:O6" si="12">+N4-N5</f>
        <v>-87.333333333333314</v>
      </c>
      <c r="O6" s="23">
        <f t="shared" si="12"/>
        <v>-81.666666666666686</v>
      </c>
      <c r="P6" s="23">
        <f t="shared" ref="P6:CA6" si="13">+P4-P5</f>
        <v>-75.666666666666686</v>
      </c>
      <c r="Q6" s="90">
        <f t="shared" si="13"/>
        <v>-73</v>
      </c>
      <c r="R6" s="39">
        <f t="shared" si="13"/>
        <v>-71</v>
      </c>
      <c r="S6" s="39">
        <f t="shared" si="13"/>
        <v>-70</v>
      </c>
      <c r="T6" s="39">
        <f t="shared" si="13"/>
        <v>-67.666666666666686</v>
      </c>
      <c r="U6" s="39">
        <f t="shared" si="13"/>
        <v>-66.333333333333314</v>
      </c>
      <c r="V6" s="39">
        <f t="shared" si="13"/>
        <v>-64.333333333333314</v>
      </c>
      <c r="W6" s="39">
        <f t="shared" si="13"/>
        <v>-62.666666666666686</v>
      </c>
      <c r="X6" s="39">
        <f t="shared" si="13"/>
        <v>-58.666666666666686</v>
      </c>
      <c r="Y6" s="39">
        <f t="shared" si="13"/>
        <v>-55.333333333333314</v>
      </c>
      <c r="Z6" s="39">
        <f t="shared" si="13"/>
        <v>-54</v>
      </c>
      <c r="AA6" s="39">
        <f t="shared" si="13"/>
        <v>-53</v>
      </c>
      <c r="AB6" s="39">
        <f t="shared" si="13"/>
        <v>-88</v>
      </c>
      <c r="AC6" s="39">
        <f t="shared" si="13"/>
        <v>-86</v>
      </c>
      <c r="AD6" s="39">
        <f t="shared" si="13"/>
        <v>-83.666666666666686</v>
      </c>
      <c r="AE6" s="39">
        <f t="shared" si="13"/>
        <v>-82.333333333333314</v>
      </c>
      <c r="AF6" s="39">
        <f t="shared" si="13"/>
        <v>-81.333333333333314</v>
      </c>
      <c r="AG6" s="39">
        <f t="shared" si="13"/>
        <v>-78.666666666666686</v>
      </c>
      <c r="AH6" s="39">
        <f t="shared" si="13"/>
        <v>-73</v>
      </c>
      <c r="AI6" s="39">
        <f t="shared" si="13"/>
        <v>-68.333333333333314</v>
      </c>
      <c r="AJ6" s="39">
        <f t="shared" si="13"/>
        <v>-66</v>
      </c>
      <c r="AK6" s="39">
        <f t="shared" si="13"/>
        <v>-65.666666666666686</v>
      </c>
      <c r="AL6" s="39">
        <f t="shared" si="13"/>
        <v>-65.5</v>
      </c>
      <c r="AM6" s="39">
        <f t="shared" si="13"/>
        <v>-65</v>
      </c>
      <c r="AN6" s="39">
        <f t="shared" si="13"/>
        <v>-39</v>
      </c>
      <c r="AO6" s="39">
        <f t="shared" si="13"/>
        <v>-39</v>
      </c>
      <c r="AP6" s="39">
        <f t="shared" si="13"/>
        <v>-40.75</v>
      </c>
      <c r="AQ6" s="39">
        <f t="shared" si="13"/>
        <v>-40.75</v>
      </c>
      <c r="AR6" s="39">
        <f t="shared" si="13"/>
        <v>-40.75</v>
      </c>
      <c r="AS6" s="39">
        <f t="shared" si="13"/>
        <v>-40.75</v>
      </c>
      <c r="AT6" s="39">
        <f t="shared" si="13"/>
        <v>-39.75</v>
      </c>
      <c r="AU6" s="39">
        <f t="shared" si="13"/>
        <v>-37</v>
      </c>
      <c r="AV6" s="39">
        <f t="shared" si="13"/>
        <v>-36.25</v>
      </c>
      <c r="AW6" s="39">
        <f t="shared" si="13"/>
        <v>-33.5</v>
      </c>
      <c r="AX6" s="39">
        <f t="shared" si="13"/>
        <v>-31.75</v>
      </c>
      <c r="AY6" s="39">
        <f t="shared" si="13"/>
        <v>-31</v>
      </c>
      <c r="AZ6" s="39">
        <f t="shared" si="13"/>
        <v>-29</v>
      </c>
      <c r="BA6" s="39">
        <f t="shared" si="13"/>
        <v>-31.25</v>
      </c>
      <c r="BB6" s="39">
        <f t="shared" si="13"/>
        <v>-32</v>
      </c>
      <c r="BC6" s="39">
        <f t="shared" si="13"/>
        <v>-33.5</v>
      </c>
      <c r="BD6" s="39">
        <f t="shared" si="13"/>
        <v>-35.25</v>
      </c>
      <c r="BE6" s="39">
        <f t="shared" si="13"/>
        <v>-33.25</v>
      </c>
      <c r="BF6" s="39">
        <f t="shared" si="13"/>
        <v>-33.25</v>
      </c>
      <c r="BG6" s="39">
        <f t="shared" si="13"/>
        <v>-35.75</v>
      </c>
      <c r="BH6" s="39">
        <f t="shared" si="13"/>
        <v>-39</v>
      </c>
      <c r="BI6" s="39">
        <f t="shared" si="13"/>
        <v>-42</v>
      </c>
      <c r="BJ6" s="39">
        <f t="shared" si="13"/>
        <v>-45.5</v>
      </c>
      <c r="BK6" s="39">
        <f t="shared" si="13"/>
        <v>-48</v>
      </c>
      <c r="BL6" s="39">
        <f t="shared" si="13"/>
        <v>-26.142857142857167</v>
      </c>
      <c r="BM6" s="39">
        <f t="shared" si="13"/>
        <v>-28.714285714285722</v>
      </c>
      <c r="BN6" s="39">
        <f t="shared" si="13"/>
        <v>-30.285714285714278</v>
      </c>
      <c r="BO6" s="39">
        <f t="shared" si="13"/>
        <v>-32</v>
      </c>
      <c r="BP6" s="39">
        <f t="shared" si="13"/>
        <v>-32.571428571428555</v>
      </c>
      <c r="BQ6" s="23">
        <f t="shared" si="13"/>
        <v>-31.571428571428555</v>
      </c>
      <c r="BR6" s="23">
        <f t="shared" si="13"/>
        <v>-32</v>
      </c>
      <c r="BS6" s="23">
        <f t="shared" si="13"/>
        <v>-30.399999999999977</v>
      </c>
      <c r="BT6" s="41">
        <f t="shared" si="13"/>
        <v>-29.25</v>
      </c>
      <c r="BU6" s="23">
        <f t="shared" si="13"/>
        <v>-26.666666666666686</v>
      </c>
      <c r="BV6" s="23">
        <f t="shared" si="13"/>
        <v>-22.5</v>
      </c>
      <c r="BW6" s="23">
        <f t="shared" si="13"/>
        <v>-14</v>
      </c>
      <c r="BX6" s="23">
        <f t="shared" si="13"/>
        <v>-39.583333333333314</v>
      </c>
      <c r="BY6" s="23">
        <f t="shared" si="13"/>
        <v>-38.181818181818187</v>
      </c>
      <c r="BZ6" s="23">
        <f t="shared" si="13"/>
        <v>-36.5</v>
      </c>
      <c r="CA6" s="23">
        <f t="shared" si="13"/>
        <v>-34.777777777777771</v>
      </c>
      <c r="CB6" s="23">
        <f t="shared" ref="CB6:ED6" si="14">+CB4-CB5</f>
        <v>-33.625</v>
      </c>
      <c r="CC6" s="23">
        <f t="shared" si="14"/>
        <v>-33.142857142857167</v>
      </c>
      <c r="CD6" s="23">
        <f t="shared" si="14"/>
        <v>-31.833333333333314</v>
      </c>
      <c r="CE6" s="23">
        <f t="shared" si="14"/>
        <v>-30.199999999999989</v>
      </c>
      <c r="CF6" s="23">
        <f t="shared" si="14"/>
        <v>-28</v>
      </c>
      <c r="CG6" s="23">
        <f t="shared" si="14"/>
        <v>-26.666666666666686</v>
      </c>
      <c r="CH6" s="23">
        <f t="shared" si="14"/>
        <v>-26</v>
      </c>
      <c r="CI6" s="23">
        <f t="shared" si="14"/>
        <v>-23</v>
      </c>
      <c r="CJ6" s="23">
        <f t="shared" si="14"/>
        <v>-18.666666666666686</v>
      </c>
      <c r="CK6" s="23">
        <f t="shared" si="14"/>
        <v>-19.454545454545439</v>
      </c>
      <c r="CL6" s="23">
        <f t="shared" si="14"/>
        <v>-20.600000000000023</v>
      </c>
      <c r="CM6" s="23">
        <f t="shared" si="14"/>
        <v>-21.111111111111086</v>
      </c>
      <c r="CN6" s="23">
        <f t="shared" si="14"/>
        <v>-21.375</v>
      </c>
      <c r="CO6" s="23">
        <f t="shared" si="14"/>
        <v>-21.714285714285722</v>
      </c>
      <c r="CP6" s="23">
        <f t="shared" si="14"/>
        <v>-22.333333333333314</v>
      </c>
      <c r="CQ6" s="23">
        <f t="shared" si="14"/>
        <v>-23.800000000000011</v>
      </c>
      <c r="CR6" s="23">
        <f t="shared" si="14"/>
        <v>-24.75</v>
      </c>
      <c r="CS6" s="23">
        <f t="shared" si="14"/>
        <v>-23.666666666666686</v>
      </c>
      <c r="CT6" s="23">
        <f t="shared" si="14"/>
        <v>-20.5</v>
      </c>
      <c r="CU6" s="23">
        <f t="shared" si="14"/>
        <v>-18</v>
      </c>
      <c r="CV6" s="23">
        <f t="shared" si="14"/>
        <v>-24.333333333333314</v>
      </c>
      <c r="CW6" s="23">
        <f t="shared" si="14"/>
        <v>-24.090909090909065</v>
      </c>
      <c r="CX6" s="23">
        <f t="shared" si="14"/>
        <v>-23.699999999999989</v>
      </c>
      <c r="CY6" s="23">
        <f t="shared" si="14"/>
        <v>-23.666666666666686</v>
      </c>
      <c r="CZ6" s="23">
        <f t="shared" si="14"/>
        <v>-24.25</v>
      </c>
      <c r="DA6" s="23">
        <f t="shared" si="14"/>
        <v>-23.714285714285722</v>
      </c>
      <c r="DB6" s="23">
        <f t="shared" si="14"/>
        <v>-24.166666666666686</v>
      </c>
      <c r="DC6" s="23">
        <f t="shared" si="14"/>
        <v>-24.800000000000011</v>
      </c>
      <c r="DD6" s="23">
        <f t="shared" si="14"/>
        <v>-24.75</v>
      </c>
      <c r="DE6" s="23">
        <f t="shared" si="14"/>
        <v>-24.666666666666686</v>
      </c>
      <c r="DF6" s="23">
        <f t="shared" si="14"/>
        <v>-26</v>
      </c>
      <c r="DG6" s="23">
        <f t="shared" si="14"/>
        <v>-24</v>
      </c>
      <c r="DH6" s="23">
        <f t="shared" si="14"/>
        <v>-18.454545454545439</v>
      </c>
      <c r="DI6" s="23">
        <f t="shared" si="14"/>
        <v>-19.300000000000011</v>
      </c>
      <c r="DJ6" s="23">
        <f t="shared" si="14"/>
        <v>-19.777777777777771</v>
      </c>
      <c r="DK6" s="23">
        <f t="shared" si="14"/>
        <v>-19.75</v>
      </c>
      <c r="DL6" s="23">
        <f t="shared" si="14"/>
        <v>-19.428571428571445</v>
      </c>
      <c r="DM6" s="23">
        <f t="shared" si="14"/>
        <v>-17.666666666666686</v>
      </c>
      <c r="DN6" s="23">
        <f t="shared" si="14"/>
        <v>-17</v>
      </c>
      <c r="DO6" s="23">
        <f t="shared" si="14"/>
        <v>-17.25</v>
      </c>
      <c r="DP6" s="23">
        <f t="shared" si="14"/>
        <v>-16.333333333333314</v>
      </c>
      <c r="DQ6" s="23">
        <f t="shared" si="14"/>
        <v>-16</v>
      </c>
      <c r="DR6" s="23">
        <f t="shared" si="14"/>
        <v>-12</v>
      </c>
      <c r="DS6" s="23">
        <f t="shared" si="14"/>
        <v>-27.636363636363626</v>
      </c>
      <c r="DT6" s="23">
        <f t="shared" si="14"/>
        <v>-27.636363636363626</v>
      </c>
      <c r="DU6" s="23">
        <f t="shared" si="14"/>
        <v>-28.199999999999989</v>
      </c>
      <c r="DV6" s="23">
        <f t="shared" si="14"/>
        <v>-28.777777777777771</v>
      </c>
      <c r="DW6" s="23">
        <f t="shared" si="14"/>
        <v>-29.25</v>
      </c>
      <c r="DX6" s="23">
        <f t="shared" si="14"/>
        <v>-29.571428571428555</v>
      </c>
      <c r="DY6" s="23">
        <f t="shared" si="14"/>
        <v>-29.833333333333314</v>
      </c>
      <c r="DZ6" s="23">
        <f t="shared" si="14"/>
        <v>-29.800000000000011</v>
      </c>
      <c r="EA6" s="23">
        <f t="shared" si="14"/>
        <v>-29.25</v>
      </c>
      <c r="EB6" s="23">
        <f t="shared" si="14"/>
        <v>-33</v>
      </c>
      <c r="EC6" s="23">
        <f t="shared" si="14"/>
        <v>-26.5</v>
      </c>
      <c r="ED6" s="23">
        <f t="shared" si="14"/>
        <v>-21</v>
      </c>
      <c r="EF6" s="17"/>
    </row>
    <row r="7" spans="1:139" x14ac:dyDescent="0.25">
      <c r="A7" s="1" t="s">
        <v>33</v>
      </c>
      <c r="D7" s="1" t="s">
        <v>34</v>
      </c>
      <c r="E7" s="24">
        <f t="shared" ref="E7" si="15">+E6*218</f>
        <v>-18893.333333333336</v>
      </c>
      <c r="F7" s="24">
        <f t="shared" ref="F7:G7" si="16">+F6*218</f>
        <v>-19111.333333333336</v>
      </c>
      <c r="G7" s="24">
        <f t="shared" si="16"/>
        <v>-18966</v>
      </c>
      <c r="H7" s="24">
        <f t="shared" ref="H7:I7" si="17">+H6*218</f>
        <v>-18893.333333333336</v>
      </c>
      <c r="I7" s="24">
        <f t="shared" si="17"/>
        <v>-18530</v>
      </c>
      <c r="J7" s="24">
        <f t="shared" ref="J7:K7" si="18">+J6*218</f>
        <v>-18602.666666666664</v>
      </c>
      <c r="K7" s="24">
        <f t="shared" si="18"/>
        <v>-19111.333333333336</v>
      </c>
      <c r="L7" s="24">
        <f t="shared" ref="L7:M7" si="19">+L6*218</f>
        <v>-19838</v>
      </c>
      <c r="M7" s="24">
        <f t="shared" si="19"/>
        <v>-20056</v>
      </c>
      <c r="N7" s="24">
        <f t="shared" ref="N7:O7" si="20">+N6*218</f>
        <v>-19038.666666666664</v>
      </c>
      <c r="O7" s="24">
        <f t="shared" si="20"/>
        <v>-17803.333333333336</v>
      </c>
      <c r="P7" s="24">
        <f t="shared" ref="P7:AM7" si="21">+P6*218</f>
        <v>-16495.333333333336</v>
      </c>
      <c r="Q7" s="91">
        <f t="shared" si="21"/>
        <v>-15914</v>
      </c>
      <c r="R7" s="83">
        <f t="shared" si="21"/>
        <v>-15478</v>
      </c>
      <c r="S7" s="83">
        <f t="shared" si="21"/>
        <v>-15260</v>
      </c>
      <c r="T7" s="83">
        <f t="shared" si="21"/>
        <v>-14751.333333333338</v>
      </c>
      <c r="U7" s="83">
        <f t="shared" si="21"/>
        <v>-14460.666666666662</v>
      </c>
      <c r="V7" s="83">
        <f t="shared" si="21"/>
        <v>-14024.666666666662</v>
      </c>
      <c r="W7" s="83">
        <f t="shared" si="21"/>
        <v>-13661.333333333338</v>
      </c>
      <c r="X7" s="83">
        <f t="shared" si="21"/>
        <v>-12789.333333333338</v>
      </c>
      <c r="Y7" s="83">
        <f t="shared" si="21"/>
        <v>-12062.666666666662</v>
      </c>
      <c r="Z7" s="83">
        <f t="shared" si="21"/>
        <v>-11772</v>
      </c>
      <c r="AA7" s="97">
        <f t="shared" si="21"/>
        <v>-11554</v>
      </c>
      <c r="AB7" s="83">
        <f t="shared" si="21"/>
        <v>-19184</v>
      </c>
      <c r="AC7" s="83">
        <f t="shared" si="21"/>
        <v>-18748</v>
      </c>
      <c r="AD7" s="83">
        <f t="shared" si="21"/>
        <v>-18239.333333333336</v>
      </c>
      <c r="AE7" s="83">
        <f t="shared" si="21"/>
        <v>-17948.666666666664</v>
      </c>
      <c r="AF7" s="83">
        <f t="shared" si="21"/>
        <v>-17730.666666666664</v>
      </c>
      <c r="AG7" s="24">
        <f t="shared" si="21"/>
        <v>-17149.333333333336</v>
      </c>
      <c r="AH7" s="83">
        <f t="shared" si="21"/>
        <v>-15914</v>
      </c>
      <c r="AI7" s="83">
        <f t="shared" si="21"/>
        <v>-14896.666666666662</v>
      </c>
      <c r="AJ7" s="80">
        <f t="shared" si="21"/>
        <v>-14388</v>
      </c>
      <c r="AK7" s="24">
        <f t="shared" si="21"/>
        <v>-14315.333333333338</v>
      </c>
      <c r="AL7" s="24">
        <f t="shared" si="21"/>
        <v>-14279</v>
      </c>
      <c r="AM7" s="24">
        <f t="shared" si="21"/>
        <v>-14170</v>
      </c>
      <c r="AN7" s="24">
        <f>+AN6*192</f>
        <v>-7488</v>
      </c>
      <c r="AO7" s="24">
        <f t="shared" ref="AO7:CI7" si="22">+AO6*192</f>
        <v>-7488</v>
      </c>
      <c r="AP7" s="77">
        <f t="shared" si="22"/>
        <v>-7824</v>
      </c>
      <c r="AQ7" s="24">
        <f t="shared" si="22"/>
        <v>-7824</v>
      </c>
      <c r="AR7" s="24">
        <f t="shared" si="22"/>
        <v>-7824</v>
      </c>
      <c r="AS7" s="24">
        <f t="shared" si="22"/>
        <v>-7824</v>
      </c>
      <c r="AT7" s="24">
        <f t="shared" si="22"/>
        <v>-7632</v>
      </c>
      <c r="AU7" s="24">
        <f t="shared" si="22"/>
        <v>-7104</v>
      </c>
      <c r="AV7" s="24">
        <f t="shared" si="22"/>
        <v>-6960</v>
      </c>
      <c r="AW7" s="24">
        <f t="shared" si="22"/>
        <v>-6432</v>
      </c>
      <c r="AX7" s="24">
        <f t="shared" si="22"/>
        <v>-6096</v>
      </c>
      <c r="AY7" s="24">
        <f t="shared" si="22"/>
        <v>-5952</v>
      </c>
      <c r="AZ7" s="24">
        <f t="shared" si="22"/>
        <v>-5568</v>
      </c>
      <c r="BA7" s="24">
        <f t="shared" si="22"/>
        <v>-6000</v>
      </c>
      <c r="BB7" s="24">
        <f t="shared" si="22"/>
        <v>-6144</v>
      </c>
      <c r="BC7" s="24">
        <f t="shared" si="22"/>
        <v>-6432</v>
      </c>
      <c r="BD7" s="24">
        <f t="shared" si="22"/>
        <v>-6768</v>
      </c>
      <c r="BE7" s="24">
        <f t="shared" si="22"/>
        <v>-6384</v>
      </c>
      <c r="BF7" s="24">
        <f t="shared" si="22"/>
        <v>-6384</v>
      </c>
      <c r="BG7" s="24">
        <f t="shared" si="22"/>
        <v>-6864</v>
      </c>
      <c r="BH7" s="24">
        <f t="shared" si="22"/>
        <v>-7488</v>
      </c>
      <c r="BI7" s="24">
        <f t="shared" si="22"/>
        <v>-8064</v>
      </c>
      <c r="BJ7" s="24">
        <f t="shared" si="22"/>
        <v>-8736</v>
      </c>
      <c r="BK7" s="24">
        <f t="shared" si="22"/>
        <v>-9216</v>
      </c>
      <c r="BL7" s="24">
        <f t="shared" si="22"/>
        <v>-5019.4285714285761</v>
      </c>
      <c r="BM7" s="24">
        <f t="shared" si="22"/>
        <v>-5513.1428571428587</v>
      </c>
      <c r="BN7" s="24">
        <f t="shared" si="22"/>
        <v>-5814.8571428571413</v>
      </c>
      <c r="BO7" s="24">
        <f t="shared" si="22"/>
        <v>-6144</v>
      </c>
      <c r="BP7" s="24">
        <f t="shared" si="22"/>
        <v>-6253.7142857142826</v>
      </c>
      <c r="BQ7" s="42">
        <f t="shared" si="22"/>
        <v>-6061.7142857142826</v>
      </c>
      <c r="BR7" s="24">
        <f t="shared" si="22"/>
        <v>-6144</v>
      </c>
      <c r="BS7" s="24">
        <f t="shared" si="22"/>
        <v>-5836.7999999999956</v>
      </c>
      <c r="BT7" s="43">
        <f t="shared" si="22"/>
        <v>-5616</v>
      </c>
      <c r="BU7" s="24">
        <f t="shared" si="22"/>
        <v>-5120.0000000000036</v>
      </c>
      <c r="BV7" s="24">
        <f t="shared" si="22"/>
        <v>-4320</v>
      </c>
      <c r="BW7" s="24">
        <f t="shared" si="22"/>
        <v>-2688</v>
      </c>
      <c r="BX7" s="24">
        <f t="shared" si="22"/>
        <v>-7599.9999999999964</v>
      </c>
      <c r="BY7" s="24">
        <f t="shared" si="22"/>
        <v>-7330.9090909090919</v>
      </c>
      <c r="BZ7" s="24">
        <f t="shared" si="22"/>
        <v>-7008</v>
      </c>
      <c r="CA7" s="24">
        <f t="shared" si="22"/>
        <v>-6677.3333333333321</v>
      </c>
      <c r="CB7" s="24">
        <f t="shared" si="22"/>
        <v>-6456</v>
      </c>
      <c r="CC7" s="24">
        <f t="shared" si="22"/>
        <v>-6363.4285714285761</v>
      </c>
      <c r="CD7" s="24">
        <f t="shared" si="22"/>
        <v>-6111.9999999999964</v>
      </c>
      <c r="CE7" s="24">
        <f t="shared" si="22"/>
        <v>-5798.3999999999978</v>
      </c>
      <c r="CF7" s="24">
        <f t="shared" si="22"/>
        <v>-5376</v>
      </c>
      <c r="CG7" s="24">
        <f t="shared" si="22"/>
        <v>-5120.0000000000036</v>
      </c>
      <c r="CH7" s="24">
        <f t="shared" si="22"/>
        <v>-4992</v>
      </c>
      <c r="CI7" s="24">
        <f t="shared" si="22"/>
        <v>-4416</v>
      </c>
      <c r="CJ7" s="24">
        <f t="shared" ref="CJ7:ED7" si="23">+CJ6*168</f>
        <v>-3136.0000000000032</v>
      </c>
      <c r="CK7" s="24">
        <f t="shared" si="23"/>
        <v>-3268.3636363636338</v>
      </c>
      <c r="CL7" s="24">
        <f t="shared" si="23"/>
        <v>-3460.8000000000038</v>
      </c>
      <c r="CM7" s="24">
        <f t="shared" si="23"/>
        <v>-3546.6666666666624</v>
      </c>
      <c r="CN7" s="24">
        <f t="shared" si="23"/>
        <v>-3591</v>
      </c>
      <c r="CO7" s="24">
        <f t="shared" si="23"/>
        <v>-3648.0000000000014</v>
      </c>
      <c r="CP7" s="24">
        <f t="shared" si="23"/>
        <v>-3751.9999999999968</v>
      </c>
      <c r="CQ7" s="24">
        <f t="shared" si="23"/>
        <v>-3998.4000000000019</v>
      </c>
      <c r="CR7" s="24">
        <f t="shared" si="23"/>
        <v>-4158</v>
      </c>
      <c r="CS7" s="24">
        <f t="shared" si="23"/>
        <v>-3976.0000000000032</v>
      </c>
      <c r="CT7" s="24">
        <f t="shared" si="23"/>
        <v>-3444</v>
      </c>
      <c r="CU7" s="24">
        <f t="shared" si="23"/>
        <v>-3024</v>
      </c>
      <c r="CV7" s="24">
        <f t="shared" si="23"/>
        <v>-4087.9999999999968</v>
      </c>
      <c r="CW7" s="24">
        <f t="shared" si="23"/>
        <v>-4047.2727272727229</v>
      </c>
      <c r="CX7" s="24">
        <f t="shared" si="23"/>
        <v>-3981.5999999999981</v>
      </c>
      <c r="CY7" s="24">
        <f t="shared" si="23"/>
        <v>-3976.0000000000032</v>
      </c>
      <c r="CZ7" s="24">
        <f t="shared" si="23"/>
        <v>-4074</v>
      </c>
      <c r="DA7" s="24">
        <f t="shared" si="23"/>
        <v>-3984.0000000000014</v>
      </c>
      <c r="DB7" s="24">
        <f t="shared" si="23"/>
        <v>-4060.0000000000032</v>
      </c>
      <c r="DC7" s="24">
        <f t="shared" si="23"/>
        <v>-4166.4000000000015</v>
      </c>
      <c r="DD7" s="24">
        <f t="shared" si="23"/>
        <v>-4158</v>
      </c>
      <c r="DE7" s="24">
        <f t="shared" si="23"/>
        <v>-4144.0000000000036</v>
      </c>
      <c r="DF7" s="24">
        <f t="shared" si="23"/>
        <v>-4368</v>
      </c>
      <c r="DG7" s="24">
        <f t="shared" si="23"/>
        <v>-4032</v>
      </c>
      <c r="DH7" s="24">
        <f t="shared" si="23"/>
        <v>-3100.3636363636338</v>
      </c>
      <c r="DI7" s="24">
        <f t="shared" si="23"/>
        <v>-3242.4000000000019</v>
      </c>
      <c r="DJ7" s="24">
        <f t="shared" si="23"/>
        <v>-3322.6666666666656</v>
      </c>
      <c r="DK7" s="24">
        <f t="shared" si="23"/>
        <v>-3318</v>
      </c>
      <c r="DL7" s="24">
        <f t="shared" si="23"/>
        <v>-3264.0000000000027</v>
      </c>
      <c r="DM7" s="24">
        <f t="shared" si="23"/>
        <v>-2968.0000000000032</v>
      </c>
      <c r="DN7" s="24">
        <f t="shared" si="23"/>
        <v>-2856</v>
      </c>
      <c r="DO7" s="24">
        <f t="shared" si="23"/>
        <v>-2898</v>
      </c>
      <c r="DP7" s="24">
        <f t="shared" si="23"/>
        <v>-2743.9999999999968</v>
      </c>
      <c r="DQ7" s="24">
        <f t="shared" si="23"/>
        <v>-2688</v>
      </c>
      <c r="DR7" s="24">
        <f t="shared" si="23"/>
        <v>-2016</v>
      </c>
      <c r="DS7" s="24">
        <f t="shared" si="23"/>
        <v>-4642.9090909090892</v>
      </c>
      <c r="DT7" s="24">
        <f t="shared" si="23"/>
        <v>-4642.9090909090892</v>
      </c>
      <c r="DU7" s="24">
        <f t="shared" si="23"/>
        <v>-4737.5999999999985</v>
      </c>
      <c r="DV7" s="24">
        <f t="shared" si="23"/>
        <v>-4834.6666666666661</v>
      </c>
      <c r="DW7" s="24">
        <f t="shared" si="23"/>
        <v>-4914</v>
      </c>
      <c r="DX7" s="24">
        <f t="shared" si="23"/>
        <v>-4967.9999999999973</v>
      </c>
      <c r="DY7" s="24">
        <f t="shared" si="23"/>
        <v>-5011.9999999999964</v>
      </c>
      <c r="DZ7" s="24">
        <f t="shared" si="23"/>
        <v>-5006.4000000000015</v>
      </c>
      <c r="EA7" s="24">
        <f t="shared" si="23"/>
        <v>-4914</v>
      </c>
      <c r="EB7" s="24">
        <f t="shared" si="23"/>
        <v>-5544</v>
      </c>
      <c r="EC7" s="24">
        <f t="shared" si="23"/>
        <v>-4452</v>
      </c>
      <c r="ED7" s="24">
        <f t="shared" si="23"/>
        <v>-3528</v>
      </c>
    </row>
    <row r="8" spans="1:139" x14ac:dyDescent="0.25"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89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76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7"/>
      <c r="BF8" s="17"/>
      <c r="BG8" s="17"/>
      <c r="BH8" s="17"/>
      <c r="BI8" s="15"/>
      <c r="BJ8" s="17"/>
      <c r="BK8" s="17"/>
      <c r="BL8" s="17"/>
      <c r="BM8" s="17"/>
      <c r="BN8" s="17"/>
      <c r="BO8" s="14"/>
      <c r="BP8" s="16"/>
      <c r="BQ8" s="1"/>
      <c r="BR8" s="1"/>
      <c r="BT8" s="37"/>
    </row>
    <row r="9" spans="1:139" x14ac:dyDescent="0.25">
      <c r="A9" s="75" t="s">
        <v>35</v>
      </c>
      <c r="D9" s="1" t="s">
        <v>36</v>
      </c>
      <c r="E9" s="25">
        <f>115744.33-63123.75-19325-16154</f>
        <v>17141.580000000002</v>
      </c>
      <c r="F9" s="25">
        <f>114538.5-62962.41-19212.5-16154</f>
        <v>16209.589999999997</v>
      </c>
      <c r="G9" s="25">
        <f>112053.37-62458.25-18900-16154</f>
        <v>14541.119999999995</v>
      </c>
      <c r="H9" s="25">
        <f>108234.87-61294.27-18512.5-16154</f>
        <v>12274.099999999999</v>
      </c>
      <c r="I9" s="25">
        <f>104331.73-59640.61-18062.5-16154</f>
        <v>10474.619999999995</v>
      </c>
      <c r="J9" s="25">
        <f>101236.18-58128.12-17225-16154</f>
        <v>9729.0599999999904</v>
      </c>
      <c r="K9" s="25">
        <f>97443.76-55821.8-16400-16154</f>
        <v>9067.9599999999919</v>
      </c>
      <c r="L9" s="25">
        <f>92589.29-53952.82-16137.5-15925</f>
        <v>6573.9699999999939</v>
      </c>
      <c r="M9" s="25">
        <f>73821.2-50584.99-15150-4311</f>
        <v>3775.2099999999991</v>
      </c>
      <c r="N9" s="25">
        <f>61818.93-46087.83-13400-0</f>
        <v>2331.0999999999985</v>
      </c>
      <c r="O9" s="25">
        <f>54430.63-41199.5-11887.5-0</f>
        <v>1343.6299999999974</v>
      </c>
      <c r="P9" s="25">
        <f>152011.2-63440.08-18525-40978</f>
        <v>29068.12000000001</v>
      </c>
      <c r="Q9" s="92">
        <f>148828.41-63185.73-18037.5-40373</f>
        <v>27232.179999999993</v>
      </c>
      <c r="R9" s="45">
        <f>143441.49-63094.89-18025-35565</f>
        <v>26756.599999999991</v>
      </c>
      <c r="S9" s="45">
        <f>137887.65-62822.39-17925-35565</f>
        <v>21575.259999999995</v>
      </c>
      <c r="T9" s="45">
        <f>132670.42-61423.4-17662.5-35565</f>
        <v>18019.520000000019</v>
      </c>
      <c r="U9" s="45">
        <f>125153-59279.73-16875-35565</f>
        <v>13433.26999999999</v>
      </c>
      <c r="V9" s="45">
        <f>120943.04-58135.24-16175-35565</f>
        <v>11067.799999999996</v>
      </c>
      <c r="W9" s="45">
        <f>117753.54-56602.56-15412.5-35381</f>
        <v>10357.479999999996</v>
      </c>
      <c r="X9" s="45">
        <f>97078.39-55210.38-15062.5-11784</f>
        <v>15021.510000000002</v>
      </c>
      <c r="Y9" s="45">
        <f>100715.68-77376.26-15362.5-0</f>
        <v>7976.9199999999983</v>
      </c>
      <c r="Z9" s="45">
        <f>93347.26-73997.26-14112.5-0</f>
        <v>5237.5</v>
      </c>
      <c r="AA9" s="45">
        <f>85269.27-69266.44-12650-0</f>
        <v>3352.8300000000017</v>
      </c>
      <c r="AB9" s="45">
        <f>127418.29-53683.65-17825-19732</f>
        <v>36177.639999999985</v>
      </c>
      <c r="AC9" s="45">
        <f>123459.28-53347.65-17825-19299</f>
        <v>32987.630000000005</v>
      </c>
      <c r="AD9" s="45">
        <f>118135.48-53147.8-17775-15915</f>
        <v>31297.679999999993</v>
      </c>
      <c r="AE9" s="45">
        <f>111887.73-52857.13-17637.5-15915</f>
        <v>25478.1</v>
      </c>
      <c r="AF9" s="45">
        <f>102504.29-52112.29-17300-15915</f>
        <v>17176.999999999993</v>
      </c>
      <c r="AG9" s="45">
        <f>98487.9-50604.45-16787.5-15915</f>
        <v>15180.949999999997</v>
      </c>
      <c r="AH9" s="45">
        <f>94632.81-49150.51-15875-15915</f>
        <v>13692.299999999996</v>
      </c>
      <c r="AI9" s="45">
        <f>90361.96-47565.34-15162.5-15915</f>
        <v>11719.12000000001</v>
      </c>
      <c r="AJ9" s="45">
        <f>86769.41-46166.51-15012.5-15915</f>
        <v>9675.4000000000015</v>
      </c>
      <c r="AK9" s="45">
        <f>71976.42-43278.01-13987.5-6780</f>
        <v>7930.9099999999962</v>
      </c>
      <c r="AL9" s="45">
        <f>58914.62-40800.35-13637.5-0</f>
        <v>4476.7700000000041</v>
      </c>
      <c r="AM9" s="45">
        <f>51255.27-36316.34-12312.5-0</f>
        <v>2626.4300000000003</v>
      </c>
      <c r="AN9" s="45">
        <f>135440.58-60129.91-22537.5-25554</f>
        <v>27219.169999999984</v>
      </c>
      <c r="AO9" s="45">
        <f>133657.88-59937.91-22387.5-25401</f>
        <v>25931.47</v>
      </c>
      <c r="AP9" s="45">
        <f>126840.28-59745.91-22362.5-19677</f>
        <v>25054.869999999995</v>
      </c>
      <c r="AQ9" s="45">
        <f>123744.26-59345.91-22262.5-19377</f>
        <v>22758.849999999991</v>
      </c>
      <c r="AR9" s="45">
        <f>96019.13-46916.5-10512.5-19377</f>
        <v>19213.130000000005</v>
      </c>
      <c r="AS9" s="45">
        <f>93685.95-46596.5-10512.5-19377</f>
        <v>17199.949999999997</v>
      </c>
      <c r="AT9" s="45">
        <f>87917.28-42980.5-10512.5-19377</f>
        <v>15047.279999999999</v>
      </c>
      <c r="AU9" s="45">
        <f>85737.49-42756.5-10362.5-19377</f>
        <v>13241.490000000005</v>
      </c>
      <c r="AV9" s="45">
        <f>82602.49-40579.33-10362.5-20038</f>
        <v>11622.660000000003</v>
      </c>
      <c r="AW9" s="45">
        <f>64948.22-40195.33-10362.5-6194</f>
        <v>8196.39</v>
      </c>
      <c r="AX9" s="45">
        <f>56574.79-40065.83-10362.5-0</f>
        <v>6146.4599999999991</v>
      </c>
      <c r="AY9" s="45">
        <f>53110.31-39662.17-10212.5-0</f>
        <v>3235.6399999999994</v>
      </c>
      <c r="AZ9" s="45">
        <f>140839.18-61188.17-22112.5-17209.5</f>
        <v>40329.009999999995</v>
      </c>
      <c r="BA9" s="45">
        <f>135643.29-59956.17-21925-16803.5</f>
        <v>36958.62000000001</v>
      </c>
      <c r="BB9" s="45">
        <f>129605.21-59860.17-21925-13399.5</f>
        <v>34420.540000000008</v>
      </c>
      <c r="BC9" s="45">
        <f>120415.64-59284.17-21787.5-12949.5</f>
        <v>26394.47</v>
      </c>
      <c r="BD9" s="45">
        <f>113827.9-58674.67-21437.5-12949.5</f>
        <v>20766.229999999996</v>
      </c>
      <c r="BE9" s="45">
        <f>109455.3-57938.67-21212.5-12949.5</f>
        <v>17354.630000000005</v>
      </c>
      <c r="BF9" s="45">
        <f>104933.41-56738.67-20262.5-12949.5</f>
        <v>14982.740000000005</v>
      </c>
      <c r="BG9" s="45">
        <f>101048.75-55378.67-19662.5-12949.5</f>
        <v>13058.080000000002</v>
      </c>
      <c r="BH9" s="45">
        <f>95806.56-54098.67-18887.5-13014</f>
        <v>9806.39</v>
      </c>
      <c r="BI9" s="45">
        <f>81144.43-52498.67-18150-2073</f>
        <v>8422.7599999999948</v>
      </c>
      <c r="BJ9" s="45">
        <f>69786.97-48718.17-16912.5-0</f>
        <v>4156.3000000000029</v>
      </c>
      <c r="BK9" s="45">
        <f>55961.81-42379.83-11800-0</f>
        <v>1781.9799999999959</v>
      </c>
      <c r="BL9" s="45">
        <f>138799.03-64867.67-21912.5-17986</f>
        <v>34032.86</v>
      </c>
      <c r="BM9" s="45">
        <f>133534.81-64755.67-21537.5-16564</f>
        <v>30677.64</v>
      </c>
      <c r="BN9" s="45">
        <f>126103.4-64323.67-21412.5-11643</f>
        <v>28724.229999999996</v>
      </c>
      <c r="BO9" s="45">
        <f>118942.92-63907.67-21262.5-10851</f>
        <v>22921.75</v>
      </c>
      <c r="BP9" s="45">
        <f>112645.56-63250.17-21062.5-10851</f>
        <v>17481.89</v>
      </c>
      <c r="BQ9" s="25">
        <f>105714.78-61650.17-20562.5-10851</f>
        <v>12651.11</v>
      </c>
      <c r="BR9" s="25">
        <f>(101207.39-59922.17-20000-10851)</f>
        <v>10434.220000000001</v>
      </c>
      <c r="BS9" s="25">
        <f>(96736.21-58194.17-18837.5-10851)</f>
        <v>8853.5400000000081</v>
      </c>
      <c r="BT9" s="47">
        <f>(90616.76-55874.17-18237.5 -9511)</f>
        <v>6994.0899999999965</v>
      </c>
      <c r="BU9" s="25">
        <f>(85270.86-52956.17-17575-9298)</f>
        <v>5441.6900000000023</v>
      </c>
      <c r="BV9" s="25">
        <f>(78275.58-49836.17-16250-8497)</f>
        <v>3692.4100000000035</v>
      </c>
      <c r="BW9" s="25">
        <f>(67368.02-45912.67-14975-3559)</f>
        <v>2921.3500000000058</v>
      </c>
      <c r="BX9" s="25">
        <f>(137306.14-67877.92-20200-30214)</f>
        <v>19014.220000000016</v>
      </c>
      <c r="BY9" s="25">
        <f>(136448.28-67877.92-20200-30114)</f>
        <v>18256.36</v>
      </c>
      <c r="BZ9" s="25">
        <f>(134507.89-67669.92-20125-30114)</f>
        <v>16598.970000000016</v>
      </c>
      <c r="CA9" s="25">
        <f>(132419.84-67269.92-20000-30114)</f>
        <v>15035.919999999998</v>
      </c>
      <c r="CB9" s="25">
        <f>(130087.57-66753.17-19687.5-30114)</f>
        <v>13532.900000000009</v>
      </c>
      <c r="CC9" s="25">
        <f>(127052.36-65745.17-19381.63-30114)</f>
        <v>11811.559999999998</v>
      </c>
      <c r="CD9" s="25">
        <f>(123915.64-30114-18875-64465.17)</f>
        <v>10461.470000000001</v>
      </c>
      <c r="CE9" s="25">
        <f>(119400.68-30114-17675-62689.17)</f>
        <v>8922.5099999999948</v>
      </c>
      <c r="CF9" s="25">
        <f>(115089.98-30114-16637.5-60369.17)</f>
        <v>7969.3099999999977</v>
      </c>
      <c r="CG9" s="25">
        <f>(104401.99-24697-15950-57627.17)</f>
        <v>6127.820000000007</v>
      </c>
      <c r="CH9" s="25">
        <f>(77385.8-5317-14845.47-52892.33)</f>
        <v>4331</v>
      </c>
      <c r="CI9" s="25">
        <f>(62340.33-13675-46824.33)</f>
        <v>1841</v>
      </c>
      <c r="CJ9" s="25">
        <f>(154801.49-68573.91-39133-19800)</f>
        <v>27294.579999999987</v>
      </c>
      <c r="CK9" s="25">
        <f>(153315.22-68538.91-39133-19950)</f>
        <v>25693.309999999998</v>
      </c>
      <c r="CL9" s="25">
        <f>(151296.12-68272.91-39133-19762.5)</f>
        <v>24127.709999999992</v>
      </c>
      <c r="CM9" s="25">
        <f>(147112.31-67824.91-39133-19550)</f>
        <v>20604.399999999994</v>
      </c>
      <c r="CN9" s="25">
        <f>(142407.77-39133-66893.91-19387.5)</f>
        <v>16993.359999999986</v>
      </c>
      <c r="CO9" s="25">
        <f>(139856.59-39133-66263.91-19062.5)</f>
        <v>15397.179999999993</v>
      </c>
      <c r="CP9" s="25">
        <f>(136007.43-39133-64842.16-18587.5)</f>
        <v>13444.76999999999</v>
      </c>
      <c r="CQ9" s="25">
        <f>(131771.28-63099-39133-17437.5)</f>
        <v>12101.779999999999</v>
      </c>
      <c r="CR9" s="25">
        <f>(125494.11-39091-60656.16-16737.5)</f>
        <v>9009.4499999999971</v>
      </c>
      <c r="CS9" s="25">
        <f>(111292.57-57086.5-15950-31766)</f>
        <v>6490.070000000007</v>
      </c>
      <c r="CT9" s="25">
        <f>(80242.26-8204-15400-52420.59)</f>
        <v>4217.6699999999983</v>
      </c>
      <c r="CU9" s="25">
        <f>(64009.71-13787.5-47447.59)</f>
        <v>2774.6200000000026</v>
      </c>
      <c r="CV9" s="8">
        <v>31472.04</v>
      </c>
      <c r="CW9" s="8">
        <v>30311.14</v>
      </c>
      <c r="CX9" s="8">
        <v>28557.37</v>
      </c>
      <c r="CY9" s="8">
        <v>27103.56</v>
      </c>
      <c r="CZ9" s="8">
        <v>24629.8</v>
      </c>
      <c r="DA9" s="48">
        <f>152288.03-70003.48-19432.5-39847</f>
        <v>23005.050000000003</v>
      </c>
      <c r="DB9" s="48">
        <f>147875.59-39847-68561.48-18545</f>
        <v>20922.11</v>
      </c>
      <c r="DC9" s="48">
        <f>137852.19-67063.48-17420-36040</f>
        <v>17328.710000000006</v>
      </c>
      <c r="DD9" s="48">
        <f>127375.56-29573-65297.23-17057.5</f>
        <v>15447.829999999994</v>
      </c>
      <c r="DE9" s="48">
        <f>100592.34-62570.56-16307.5-8244</f>
        <v>13470.279999999999</v>
      </c>
      <c r="DF9" s="48">
        <f>80791.57-56664.15-15745</f>
        <v>8382.4200000000055</v>
      </c>
      <c r="DG9" s="48">
        <f>70654.5-14395-50670.65</f>
        <v>5588.8499999999985</v>
      </c>
      <c r="DH9" s="48">
        <f>186541.69-50742-73758.84-21200</f>
        <v>40840.850000000006</v>
      </c>
      <c r="DI9" s="48">
        <f>179593.44-50742-73555.84-21187.5</f>
        <v>34108.100000000006</v>
      </c>
      <c r="DJ9" s="48">
        <f>168214.77-73037.84-21062.5-50742</f>
        <v>23372.429999999993</v>
      </c>
      <c r="DK9" s="48">
        <f>165275.02-50742-72421.84-20762.5</f>
        <v>21348.679999999993</v>
      </c>
      <c r="DL9" s="48">
        <f>161997.84-50677-20625-71189.84</f>
        <v>19506</v>
      </c>
      <c r="DM9" s="48">
        <f>158489.58-50677-69999.84-19787.5</f>
        <v>18025.239999999991</v>
      </c>
      <c r="DN9" s="48">
        <f>152773.52-18587.5-68899.94-49811</f>
        <v>15475.079999999987</v>
      </c>
      <c r="DO9" s="48">
        <f>142850.75-43480-66953.84-18050</f>
        <v>14366.910000000003</v>
      </c>
      <c r="DP9" s="48">
        <f>117858.96-25433-64007.84-17262.5</f>
        <v>11155.62000000001</v>
      </c>
      <c r="DQ9" s="48">
        <f>103380.46-19355-60530.17-16575</f>
        <v>6920.2900000000081</v>
      </c>
      <c r="DR9" s="48">
        <f>91409.49-17515-53484.25-14875</f>
        <v>5535.2400000000052</v>
      </c>
      <c r="EI9" s="1" t="s">
        <v>37</v>
      </c>
    </row>
    <row r="10" spans="1:139" x14ac:dyDescent="0.25">
      <c r="A10" s="75" t="s">
        <v>38</v>
      </c>
      <c r="D10" s="1" t="s">
        <v>39</v>
      </c>
      <c r="E10" s="26">
        <f>(164303-8040-24000-23806)/12*11</f>
        <v>99418.916666666672</v>
      </c>
      <c r="F10" s="26">
        <f>(164303-8040-24000-23806)/12*10</f>
        <v>90380.833333333343</v>
      </c>
      <c r="G10" s="26">
        <f>(164303-8040-24000-23806)/12*9</f>
        <v>81342.75</v>
      </c>
      <c r="H10" s="26">
        <f>(164303-8040-24000-23806)/12*8</f>
        <v>72304.666666666672</v>
      </c>
      <c r="I10" s="26">
        <f>(164303-8040-24000-23806)/12*7</f>
        <v>63266.583333333336</v>
      </c>
      <c r="J10" s="26">
        <f>(164303-8040-24000-23806)/12*6</f>
        <v>54228.5</v>
      </c>
      <c r="K10" s="26">
        <f>(164303-8040-24000-23806)/12*5</f>
        <v>45190.416666666672</v>
      </c>
      <c r="L10" s="26">
        <f>(164303-8040-24000-23806)/12*4</f>
        <v>36152.333333333336</v>
      </c>
      <c r="M10" s="26">
        <f>(164303-8040-24000-23806)/12*3</f>
        <v>27114.25</v>
      </c>
      <c r="N10" s="26">
        <f>(164303-8040-24000-23806)/12*2</f>
        <v>18076.166666666668</v>
      </c>
      <c r="O10" s="26">
        <f>(164303-8040-24000-23806)/12*1</f>
        <v>9038.0833333333339</v>
      </c>
      <c r="P10" s="26">
        <f>(165901-74055-20000-46731)/12*12</f>
        <v>25115</v>
      </c>
      <c r="Q10" s="93">
        <f>(165901-74055-20000-46731)/12*11</f>
        <v>23022.083333333332</v>
      </c>
      <c r="R10" s="50">
        <f>(165901-74055-20000-46731)/12*10</f>
        <v>20929.166666666664</v>
      </c>
      <c r="S10" s="50">
        <f>(165901-74055-20000-46731)/12*9</f>
        <v>18836.25</v>
      </c>
      <c r="T10" s="50">
        <f>(165901-74055-20000-46731)/12*8</f>
        <v>16743.333333333332</v>
      </c>
      <c r="U10" s="50">
        <f>(165901-74055-20000-46731)/12*7</f>
        <v>14650.416666666666</v>
      </c>
      <c r="V10" s="50">
        <f>(165901-74055-20000-46731)/12*6</f>
        <v>12557.5</v>
      </c>
      <c r="W10" s="50">
        <f>(165901-74055-20000-46731)/12*5</f>
        <v>10464.583333333332</v>
      </c>
      <c r="X10" s="50">
        <f>(165901-74055-20000-46731)/12*4</f>
        <v>8371.6666666666661</v>
      </c>
      <c r="Y10" s="50">
        <f>(165901-74055-20000-46731)/12*3</f>
        <v>6278.75</v>
      </c>
      <c r="Z10" s="50">
        <f>(165901-74055-20000-46731)/12*2</f>
        <v>4185.833333333333</v>
      </c>
      <c r="AA10" s="50">
        <f>(165901-74055-20000-46731)/12*1</f>
        <v>2092.9166666666665</v>
      </c>
      <c r="AB10" s="50">
        <f>(165901-74055-20000-46731)/12*12</f>
        <v>25115</v>
      </c>
      <c r="AC10" s="50">
        <f>(165901-74055-20000-46731)/12*11</f>
        <v>23022.083333333332</v>
      </c>
      <c r="AD10" s="50">
        <f>(165901-74055-20000-46731)/12*10</f>
        <v>20929.166666666664</v>
      </c>
      <c r="AE10" s="50">
        <f>(165901-74055-20000-46731)/12*9</f>
        <v>18836.25</v>
      </c>
      <c r="AF10" s="50">
        <f>(165901-74055-20000-46731)/12*8</f>
        <v>16743.333333333332</v>
      </c>
      <c r="AG10" s="50">
        <f>(165901-74055-20000-46731)/12*7</f>
        <v>14650.416666666666</v>
      </c>
      <c r="AH10" s="50">
        <f>(165901-74055-20000-46731)/12*6</f>
        <v>12557.5</v>
      </c>
      <c r="AI10" s="50">
        <f>(165901-74055-20000-46731)/12*5</f>
        <v>10464.583333333332</v>
      </c>
      <c r="AJ10" s="50">
        <f>(165901-74055-20000-46731)/12*4</f>
        <v>8371.6666666666661</v>
      </c>
      <c r="AK10" s="50">
        <f>(165901-74055-20000-46731)/12*3</f>
        <v>6278.75</v>
      </c>
      <c r="AL10" s="50">
        <f>(165901-74055-20000-46731)/12*2</f>
        <v>4185.833333333333</v>
      </c>
      <c r="AM10" s="50">
        <f>(165901-74055-20000-46731)/12*1</f>
        <v>2092.9166666666665</v>
      </c>
      <c r="AN10" s="50">
        <f>(165901-74055-20000-46731)/12*12</f>
        <v>25115</v>
      </c>
      <c r="AO10" s="50">
        <f>(165901-74055-20000-46731)/12*11</f>
        <v>23022.083333333332</v>
      </c>
      <c r="AP10" s="50">
        <f>(165901-74055-20000-46731)/12*10</f>
        <v>20929.166666666664</v>
      </c>
      <c r="AQ10" s="50">
        <f>(165901-74055-20000-46731)/12*9</f>
        <v>18836.25</v>
      </c>
      <c r="AR10" s="50">
        <f>(165901-74055-20000-46731)/12*8</f>
        <v>16743.333333333332</v>
      </c>
      <c r="AS10" s="50">
        <f>(165901-74055-20000-46731)/12*7</f>
        <v>14650.416666666666</v>
      </c>
      <c r="AT10" s="50">
        <f>(165901-74055-20000-46731)/12*6</f>
        <v>12557.5</v>
      </c>
      <c r="AU10" s="50">
        <f>(165901-74055-20000-46731)/12*5</f>
        <v>10464.583333333332</v>
      </c>
      <c r="AV10" s="50">
        <f>(165901-74055-20000-46731)/12*4</f>
        <v>8371.6666666666661</v>
      </c>
      <c r="AW10" s="50">
        <f>(165901-74055-20000-46731)/12*3</f>
        <v>6278.75</v>
      </c>
      <c r="AX10" s="50">
        <f>(165901-74055-20000-46731)/12*2</f>
        <v>4185.833333333333</v>
      </c>
      <c r="AY10" s="50">
        <f>(165901-74055-20000-46731)/12*1</f>
        <v>2092.9166666666665</v>
      </c>
      <c r="AZ10" s="50">
        <f>(165901-74055-20000-46731)/12*12</f>
        <v>25115</v>
      </c>
      <c r="BA10" s="50">
        <f>(165901-74055-20000-46731)/12*11</f>
        <v>23022.083333333332</v>
      </c>
      <c r="BB10" s="50">
        <f>(165901-74055-20000-46731)/12*10</f>
        <v>20929.166666666664</v>
      </c>
      <c r="BC10" s="50">
        <f>(165901-74055-20000-46731)/12*9</f>
        <v>18836.25</v>
      </c>
      <c r="BD10" s="50">
        <f>(165901-74055-20000-46731)/12*8</f>
        <v>16743.333333333332</v>
      </c>
      <c r="BE10" s="50">
        <f>(165901-74055-20000-46731)/12*7</f>
        <v>14650.416666666666</v>
      </c>
      <c r="BF10" s="50">
        <f>(165901-74055-20000-46731)/12*6</f>
        <v>12557.5</v>
      </c>
      <c r="BG10" s="50">
        <f>(165901-74055-20000-46731)/12*5</f>
        <v>10464.583333333332</v>
      </c>
      <c r="BH10" s="50">
        <f>(165901-74055-20000-46731)/12*4</f>
        <v>8371.6666666666661</v>
      </c>
      <c r="BI10" s="50">
        <f>(165901-74055-20000-46731)/12*3</f>
        <v>6278.75</v>
      </c>
      <c r="BJ10" s="50">
        <f>(165901-74055-20000-46731)/12*2</f>
        <v>4185.833333333333</v>
      </c>
      <c r="BK10" s="50">
        <f>(165901-74055-20000-46731)/12*1</f>
        <v>2092.9166666666665</v>
      </c>
      <c r="BL10" s="50">
        <f>(165901-74055-20000-46731)/12*12</f>
        <v>25115</v>
      </c>
      <c r="BM10" s="50">
        <f>(165901-74055-20000-46731)/12*11</f>
        <v>23022.083333333332</v>
      </c>
      <c r="BN10" s="50">
        <f>(165901-74055-20000-46731)/12*10</f>
        <v>20929.166666666664</v>
      </c>
      <c r="BO10" s="50">
        <f>(165901-74055-20000-46731)/12*9</f>
        <v>18836.25</v>
      </c>
      <c r="BP10" s="50">
        <f>(165901-74055-20000-46731)/12*8</f>
        <v>16743.333333333332</v>
      </c>
      <c r="BQ10" s="26">
        <f>(165901-74055-20000-46731)/12*7</f>
        <v>14650.416666666666</v>
      </c>
      <c r="BR10" s="26">
        <f>(165901-74055-20000-46731)/12*6</f>
        <v>12557.5</v>
      </c>
      <c r="BS10" s="26">
        <f>(165901-74055-20000-46731)/12*5</f>
        <v>10464.583333333332</v>
      </c>
      <c r="BT10" s="52">
        <f>(165901-74055-20000-46731)/12*4</f>
        <v>8371.6666666666661</v>
      </c>
      <c r="BU10" s="26">
        <f>(165901-74055-20000-46731)/12*3</f>
        <v>6278.75</v>
      </c>
      <c r="BV10" s="26">
        <f>(165901-74055-20000-46731)/12*2</f>
        <v>4185.833333333333</v>
      </c>
      <c r="BW10" s="26">
        <f>(165901-74055-20000-46731)/12*1</f>
        <v>2092.9166666666665</v>
      </c>
      <c r="BX10" s="26">
        <f>(173742-84165-20000-44486)/12*12</f>
        <v>25091</v>
      </c>
      <c r="BY10" s="26">
        <f>(173742-84165-20000-44486)/12*11</f>
        <v>23000.083333333332</v>
      </c>
      <c r="BZ10" s="26">
        <f>(173742-84165-20000-44486)/12*10</f>
        <v>20909.166666666664</v>
      </c>
      <c r="CA10" s="26">
        <f>(173742-84165-20000-44486)/12*9</f>
        <v>18818.25</v>
      </c>
      <c r="CB10" s="26">
        <f>(173742-84165-20000-44486)/12*8</f>
        <v>16727.333333333332</v>
      </c>
      <c r="CC10" s="26">
        <f>(173742-84165-20000-44486)/12*7</f>
        <v>14636.416666666666</v>
      </c>
      <c r="CD10" s="26">
        <f>(173742-84165-20000-44486)/12*6</f>
        <v>12545.5</v>
      </c>
      <c r="CE10" s="26">
        <f>(173742-84165-20000-44486)/12*5</f>
        <v>10454.583333333332</v>
      </c>
      <c r="CF10" s="26">
        <f>(173742-84165-20000-44486)/12*4</f>
        <v>8363.6666666666661</v>
      </c>
      <c r="CG10" s="26">
        <f>(173742-84165-20000-44486)/12*3</f>
        <v>6272.75</v>
      </c>
      <c r="CH10" s="26">
        <f>(173742-84165-20000-44486)/12*2</f>
        <v>4181.833333333333</v>
      </c>
      <c r="CI10" s="26">
        <f>(173742-84165-20000-44486)/12*1</f>
        <v>2090.9166666666665</v>
      </c>
      <c r="CJ10" s="26">
        <f>(161708-73902-42162-20000)/12*12</f>
        <v>25644</v>
      </c>
      <c r="CK10" s="26">
        <f>(161708-73902-42162-20000)/12*11</f>
        <v>23507</v>
      </c>
      <c r="CL10" s="26">
        <f>(161708-73902-42162-20000)/12*10</f>
        <v>21370</v>
      </c>
      <c r="CM10" s="26">
        <f>(161708-73902-42162-20000)/12*9</f>
        <v>19233</v>
      </c>
      <c r="CN10" s="26">
        <f>(161708-73902-42162-20000)/12*8</f>
        <v>17096</v>
      </c>
      <c r="CO10" s="26">
        <f>(161708-73902-42162-20000)/12*7</f>
        <v>14959</v>
      </c>
      <c r="CP10" s="26">
        <f>(161708-73902-42162-20000)/12*6</f>
        <v>12822</v>
      </c>
      <c r="CQ10" s="26">
        <f>(161708-73902-42162-20000)/12*5</f>
        <v>10685</v>
      </c>
      <c r="CR10" s="26">
        <f>(161708-73902-42162-20000)/12*4</f>
        <v>8548</v>
      </c>
      <c r="CS10" s="26">
        <f>(161708-73902-42162-20000)/12*3</f>
        <v>6411</v>
      </c>
      <c r="CT10" s="26">
        <f>(161708-73902-42162-20000)/12*2</f>
        <v>4274</v>
      </c>
      <c r="CU10" s="26">
        <f>(161708-73902-42162-20000)/12*1</f>
        <v>2137</v>
      </c>
      <c r="CV10" s="53">
        <f>(174743-45101-78942-20000)/12*12</f>
        <v>30700</v>
      </c>
      <c r="CW10" s="53">
        <f>(174743-45101-78942-20000)/12*11</f>
        <v>28141.666666666668</v>
      </c>
      <c r="CX10" s="53">
        <f>(174743-45101-78942-20000)/12*10</f>
        <v>25583.333333333336</v>
      </c>
      <c r="CY10" s="53">
        <f>(174743-45101-78942-20000)/12*9</f>
        <v>23025</v>
      </c>
      <c r="CZ10" s="53">
        <f>(174743-45101-78942-20000)/12*8</f>
        <v>20466.666666666668</v>
      </c>
      <c r="DA10" s="48">
        <f>(174743-45101-78942-20000)/12*7</f>
        <v>17908.333333333336</v>
      </c>
      <c r="DB10" s="48">
        <f>(174743-45101-78942-20000)/12*6</f>
        <v>15350</v>
      </c>
      <c r="DC10" s="48">
        <f>(174743-45101-78942-20000)/12*5</f>
        <v>12791.666666666668</v>
      </c>
      <c r="DD10" s="48">
        <f>(174743-45101-78942-20000)/12*4</f>
        <v>10233.333333333334</v>
      </c>
      <c r="DE10" s="48">
        <f>(174743-45101-78942-20000)/12*3</f>
        <v>7675</v>
      </c>
      <c r="DF10" s="48">
        <f>(174743-45101-78942-20000)/12*2</f>
        <v>5116.666666666667</v>
      </c>
      <c r="DG10" s="48">
        <f>(174743-45101-78942-20000)/12</f>
        <v>2558.3333333333335</v>
      </c>
      <c r="DH10" s="48">
        <f>(58217-18000)/12*11</f>
        <v>36865.583333333328</v>
      </c>
      <c r="DI10" s="48">
        <f>(58217-18000)/12*10</f>
        <v>33514.166666666664</v>
      </c>
      <c r="DJ10" s="48">
        <f>(58217-18000)/12*9</f>
        <v>30162.75</v>
      </c>
      <c r="DK10" s="48">
        <f>(58217-18000)/12*8</f>
        <v>26811.333333333332</v>
      </c>
      <c r="DL10" s="48">
        <f>(58217-18000)/12*7</f>
        <v>23459.916666666664</v>
      </c>
      <c r="DM10" s="48">
        <f>(58217-18000)/12*6</f>
        <v>20108.5</v>
      </c>
      <c r="DN10" s="48">
        <f>(58217-18000)/12*5</f>
        <v>16757.083333333332</v>
      </c>
      <c r="DO10" s="48">
        <f>(58217-18000)/12*4</f>
        <v>13405.666666666666</v>
      </c>
      <c r="DP10" s="48">
        <f>(58217-18000)/12*3</f>
        <v>10054.25</v>
      </c>
      <c r="DQ10" s="48">
        <f>(58217-18000)/12*2</f>
        <v>6702.833333333333</v>
      </c>
      <c r="DR10" s="48">
        <f>(58217-18000)/12</f>
        <v>3351.4166666666665</v>
      </c>
    </row>
    <row r="11" spans="1:139" x14ac:dyDescent="0.25">
      <c r="D11" s="1" t="s">
        <v>40</v>
      </c>
      <c r="E11" s="24">
        <f t="shared" ref="E11" si="24">+E9-E10</f>
        <v>-82277.33666666667</v>
      </c>
      <c r="F11" s="24">
        <f t="shared" ref="F11:G11" si="25">+F9-F10</f>
        <v>-74171.243333333347</v>
      </c>
      <c r="G11" s="24">
        <f t="shared" si="25"/>
        <v>-66801.63</v>
      </c>
      <c r="H11" s="24">
        <f t="shared" ref="H11:I11" si="26">+H9-H10</f>
        <v>-60030.566666666673</v>
      </c>
      <c r="I11" s="24">
        <f t="shared" si="26"/>
        <v>-52791.96333333334</v>
      </c>
      <c r="J11" s="24">
        <f t="shared" ref="J11:K11" si="27">+J9-J10</f>
        <v>-44499.44000000001</v>
      </c>
      <c r="K11" s="24">
        <f t="shared" si="27"/>
        <v>-36122.45666666668</v>
      </c>
      <c r="L11" s="24">
        <f t="shared" ref="L11:M11" si="28">+L9-L10</f>
        <v>-29578.363333333342</v>
      </c>
      <c r="M11" s="24">
        <f t="shared" si="28"/>
        <v>-23339.040000000001</v>
      </c>
      <c r="N11" s="24">
        <f t="shared" ref="N11:O11" si="29">+N9-N10</f>
        <v>-15745.066666666669</v>
      </c>
      <c r="O11" s="24">
        <f t="shared" si="29"/>
        <v>-7694.4533333333366</v>
      </c>
      <c r="P11" s="24">
        <f t="shared" ref="P11:CA11" si="30">+P9-P10</f>
        <v>3953.1200000000099</v>
      </c>
      <c r="Q11" s="91">
        <f t="shared" si="30"/>
        <v>4210.0966666666609</v>
      </c>
      <c r="R11" s="83">
        <f t="shared" si="30"/>
        <v>5827.433333333327</v>
      </c>
      <c r="S11" s="83">
        <f t="shared" si="30"/>
        <v>2739.0099999999948</v>
      </c>
      <c r="T11" s="83">
        <f t="shared" si="30"/>
        <v>1276.1866666666865</v>
      </c>
      <c r="U11" s="83">
        <f t="shared" si="30"/>
        <v>-1217.1466666666765</v>
      </c>
      <c r="V11" s="83">
        <f t="shared" si="30"/>
        <v>-1489.7000000000044</v>
      </c>
      <c r="W11" s="83">
        <f t="shared" si="30"/>
        <v>-107.1033333333362</v>
      </c>
      <c r="X11" s="83">
        <f t="shared" si="30"/>
        <v>6649.843333333336</v>
      </c>
      <c r="Y11" s="83">
        <f t="shared" si="30"/>
        <v>1698.1699999999983</v>
      </c>
      <c r="Z11" s="83">
        <f t="shared" si="30"/>
        <v>1051.666666666667</v>
      </c>
      <c r="AA11" s="83">
        <f t="shared" si="30"/>
        <v>1259.9133333333352</v>
      </c>
      <c r="AB11" s="83">
        <f t="shared" si="30"/>
        <v>11062.639999999985</v>
      </c>
      <c r="AC11" s="83">
        <f t="shared" si="30"/>
        <v>9965.5466666666725</v>
      </c>
      <c r="AD11" s="83">
        <f t="shared" si="30"/>
        <v>10368.513333333329</v>
      </c>
      <c r="AE11" s="83">
        <f t="shared" si="30"/>
        <v>6641.8499999999985</v>
      </c>
      <c r="AF11" s="83">
        <f t="shared" si="30"/>
        <v>433.6666666666606</v>
      </c>
      <c r="AG11" s="24">
        <f t="shared" si="30"/>
        <v>530.53333333333103</v>
      </c>
      <c r="AH11" s="83">
        <f t="shared" si="30"/>
        <v>1134.7999999999956</v>
      </c>
      <c r="AI11" s="83">
        <f t="shared" si="30"/>
        <v>1254.5366666666778</v>
      </c>
      <c r="AJ11" s="83">
        <f t="shared" si="30"/>
        <v>1303.7333333333354</v>
      </c>
      <c r="AK11" s="24">
        <f t="shared" si="30"/>
        <v>1652.1599999999962</v>
      </c>
      <c r="AL11" s="24">
        <f t="shared" si="30"/>
        <v>290.93666666667104</v>
      </c>
      <c r="AM11" s="24">
        <f t="shared" si="30"/>
        <v>533.51333333333378</v>
      </c>
      <c r="AN11" s="24">
        <f t="shared" si="30"/>
        <v>2104.1699999999837</v>
      </c>
      <c r="AO11" s="24">
        <f t="shared" si="30"/>
        <v>2909.386666666669</v>
      </c>
      <c r="AP11" s="24">
        <f t="shared" si="30"/>
        <v>4125.7033333333311</v>
      </c>
      <c r="AQ11" s="24">
        <f t="shared" si="30"/>
        <v>3922.5999999999913</v>
      </c>
      <c r="AR11" s="24">
        <f t="shared" si="30"/>
        <v>2469.7966666666725</v>
      </c>
      <c r="AS11" s="24">
        <f t="shared" si="30"/>
        <v>2549.533333333331</v>
      </c>
      <c r="AT11" s="24">
        <f t="shared" si="30"/>
        <v>2489.7799999999988</v>
      </c>
      <c r="AU11" s="24">
        <f t="shared" si="30"/>
        <v>2776.9066666666731</v>
      </c>
      <c r="AV11" s="24">
        <f t="shared" si="30"/>
        <v>3250.9933333333374</v>
      </c>
      <c r="AW11" s="24">
        <f t="shared" si="30"/>
        <v>1917.6399999999994</v>
      </c>
      <c r="AX11" s="24">
        <f t="shared" si="30"/>
        <v>1960.6266666666661</v>
      </c>
      <c r="AY11" s="24">
        <f t="shared" si="30"/>
        <v>1142.7233333333329</v>
      </c>
      <c r="AZ11" s="24">
        <f t="shared" si="30"/>
        <v>15214.009999999995</v>
      </c>
      <c r="BA11" s="24">
        <f t="shared" si="30"/>
        <v>13936.536666666678</v>
      </c>
      <c r="BB11" s="24">
        <f t="shared" si="30"/>
        <v>13491.373333333344</v>
      </c>
      <c r="BC11" s="24">
        <f t="shared" si="30"/>
        <v>7558.2200000000012</v>
      </c>
      <c r="BD11" s="24">
        <f t="shared" si="30"/>
        <v>4022.8966666666638</v>
      </c>
      <c r="BE11" s="24">
        <f t="shared" si="30"/>
        <v>2704.2133333333386</v>
      </c>
      <c r="BF11" s="24">
        <f t="shared" si="30"/>
        <v>2425.2400000000052</v>
      </c>
      <c r="BG11" s="24">
        <f t="shared" si="30"/>
        <v>2593.4966666666696</v>
      </c>
      <c r="BH11" s="24">
        <f t="shared" si="30"/>
        <v>1434.7233333333334</v>
      </c>
      <c r="BI11" s="24">
        <f t="shared" si="30"/>
        <v>2144.0099999999948</v>
      </c>
      <c r="BJ11" s="24">
        <f t="shared" si="30"/>
        <v>-29.53333333333012</v>
      </c>
      <c r="BK11" s="24">
        <f t="shared" si="30"/>
        <v>-310.93666666667059</v>
      </c>
      <c r="BL11" s="24">
        <f t="shared" si="30"/>
        <v>8917.86</v>
      </c>
      <c r="BM11" s="24">
        <f t="shared" si="30"/>
        <v>7655.5566666666673</v>
      </c>
      <c r="BN11" s="24">
        <f t="shared" si="30"/>
        <v>7795.0633333333317</v>
      </c>
      <c r="BO11" s="24">
        <f t="shared" si="30"/>
        <v>4085.5</v>
      </c>
      <c r="BP11" s="24">
        <f t="shared" si="30"/>
        <v>738.5566666666673</v>
      </c>
      <c r="BQ11" s="42">
        <f t="shared" si="30"/>
        <v>-1999.3066666666655</v>
      </c>
      <c r="BR11" s="24">
        <f t="shared" si="30"/>
        <v>-2123.2799999999988</v>
      </c>
      <c r="BS11" s="24">
        <f t="shared" si="30"/>
        <v>-1611.043333333324</v>
      </c>
      <c r="BT11" s="43">
        <f t="shared" si="30"/>
        <v>-1377.5766666666696</v>
      </c>
      <c r="BU11" s="24">
        <f t="shared" si="30"/>
        <v>-837.05999999999767</v>
      </c>
      <c r="BV11" s="24">
        <f t="shared" si="30"/>
        <v>-493.42333333332954</v>
      </c>
      <c r="BW11" s="24">
        <f t="shared" si="30"/>
        <v>828.43333333333931</v>
      </c>
      <c r="BX11" s="24">
        <f t="shared" si="30"/>
        <v>-6076.7799999999843</v>
      </c>
      <c r="BY11" s="24">
        <f t="shared" si="30"/>
        <v>-4743.7233333333315</v>
      </c>
      <c r="BZ11" s="24">
        <f t="shared" si="30"/>
        <v>-4310.1966666666485</v>
      </c>
      <c r="CA11" s="24">
        <f t="shared" si="30"/>
        <v>-3782.3300000000017</v>
      </c>
      <c r="CB11" s="24">
        <f t="shared" ref="CB11:DR11" si="31">+CB9-CB10</f>
        <v>-3194.4333333333234</v>
      </c>
      <c r="CC11" s="24">
        <f t="shared" si="31"/>
        <v>-2824.8566666666684</v>
      </c>
      <c r="CD11" s="24">
        <f t="shared" si="31"/>
        <v>-2084.0299999999988</v>
      </c>
      <c r="CE11" s="24">
        <f t="shared" si="31"/>
        <v>-1532.0733333333374</v>
      </c>
      <c r="CF11" s="24">
        <f t="shared" si="31"/>
        <v>-394.35666666666839</v>
      </c>
      <c r="CG11" s="24">
        <f t="shared" si="31"/>
        <v>-144.92999999999302</v>
      </c>
      <c r="CH11" s="24">
        <f t="shared" si="31"/>
        <v>149.16666666666697</v>
      </c>
      <c r="CI11" s="24">
        <f t="shared" si="31"/>
        <v>-249.91666666666652</v>
      </c>
      <c r="CJ11" s="24">
        <f t="shared" si="31"/>
        <v>1650.5799999999872</v>
      </c>
      <c r="CK11" s="24">
        <f t="shared" si="31"/>
        <v>2186.3099999999977</v>
      </c>
      <c r="CL11" s="24">
        <f t="shared" si="31"/>
        <v>2757.7099999999919</v>
      </c>
      <c r="CM11" s="24">
        <f t="shared" si="31"/>
        <v>1371.3999999999942</v>
      </c>
      <c r="CN11" s="24">
        <f t="shared" si="31"/>
        <v>-102.64000000001397</v>
      </c>
      <c r="CO11" s="24">
        <f t="shared" si="31"/>
        <v>438.17999999999302</v>
      </c>
      <c r="CP11" s="24">
        <f t="shared" si="31"/>
        <v>622.76999999998952</v>
      </c>
      <c r="CQ11" s="24">
        <f t="shared" si="31"/>
        <v>1416.7799999999988</v>
      </c>
      <c r="CR11" s="24">
        <f t="shared" si="31"/>
        <v>461.44999999999709</v>
      </c>
      <c r="CS11" s="24">
        <f t="shared" si="31"/>
        <v>79.070000000006985</v>
      </c>
      <c r="CT11" s="24">
        <f t="shared" si="31"/>
        <v>-56.330000000001746</v>
      </c>
      <c r="CU11" s="24">
        <f t="shared" si="31"/>
        <v>637.62000000000262</v>
      </c>
      <c r="CV11" s="24">
        <f t="shared" si="31"/>
        <v>772.04000000000087</v>
      </c>
      <c r="CW11" s="24">
        <f t="shared" si="31"/>
        <v>2169.4733333333315</v>
      </c>
      <c r="CX11" s="24">
        <f t="shared" si="31"/>
        <v>2974.0366666666632</v>
      </c>
      <c r="CY11" s="24">
        <f t="shared" si="31"/>
        <v>4078.5600000000013</v>
      </c>
      <c r="CZ11" s="24">
        <f t="shared" si="31"/>
        <v>4163.1333333333314</v>
      </c>
      <c r="DA11" s="24">
        <f t="shared" si="31"/>
        <v>5096.7166666666672</v>
      </c>
      <c r="DB11" s="24">
        <f t="shared" si="31"/>
        <v>5572.1100000000006</v>
      </c>
      <c r="DC11" s="24">
        <f t="shared" si="31"/>
        <v>4537.0433333333385</v>
      </c>
      <c r="DD11" s="24">
        <f t="shared" si="31"/>
        <v>5214.4966666666605</v>
      </c>
      <c r="DE11" s="24">
        <f t="shared" si="31"/>
        <v>5795.2799999999988</v>
      </c>
      <c r="DF11" s="24">
        <f t="shared" si="31"/>
        <v>3265.7533333333386</v>
      </c>
      <c r="DG11" s="24">
        <f t="shared" si="31"/>
        <v>3030.5166666666651</v>
      </c>
      <c r="DH11" s="24">
        <f t="shared" si="31"/>
        <v>3975.2666666666773</v>
      </c>
      <c r="DI11" s="24">
        <f t="shared" si="31"/>
        <v>593.93333333334158</v>
      </c>
      <c r="DJ11" s="24">
        <f t="shared" si="31"/>
        <v>-6790.320000000007</v>
      </c>
      <c r="DK11" s="24">
        <f t="shared" si="31"/>
        <v>-5462.6533333333391</v>
      </c>
      <c r="DL11" s="24">
        <f t="shared" si="31"/>
        <v>-3953.9166666666642</v>
      </c>
      <c r="DM11" s="24">
        <f t="shared" si="31"/>
        <v>-2083.2600000000093</v>
      </c>
      <c r="DN11" s="24">
        <f t="shared" si="31"/>
        <v>-1282.0033333333449</v>
      </c>
      <c r="DO11" s="24">
        <f t="shared" si="31"/>
        <v>961.24333333333743</v>
      </c>
      <c r="DP11" s="24">
        <f t="shared" si="31"/>
        <v>1101.3700000000099</v>
      </c>
      <c r="DQ11" s="24">
        <f t="shared" si="31"/>
        <v>217.45666666667512</v>
      </c>
      <c r="DR11" s="24">
        <f t="shared" si="31"/>
        <v>2183.8233333333387</v>
      </c>
    </row>
    <row r="12" spans="1:139" x14ac:dyDescent="0.25"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89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7"/>
      <c r="BF12" s="17"/>
      <c r="BG12" s="17"/>
      <c r="BH12" s="17"/>
      <c r="BI12" s="15"/>
      <c r="BJ12" s="17"/>
      <c r="BK12" s="17"/>
      <c r="BL12" s="17"/>
      <c r="BM12" s="17"/>
      <c r="BN12" s="17"/>
      <c r="BO12" s="14"/>
      <c r="BP12" s="16"/>
      <c r="BQ12" s="1"/>
      <c r="BR12" s="1"/>
      <c r="BT12" s="37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</row>
    <row r="13" spans="1:139" x14ac:dyDescent="0.25">
      <c r="A13" s="75" t="s">
        <v>41</v>
      </c>
      <c r="D13" s="1" t="s">
        <v>42</v>
      </c>
      <c r="E13" s="26">
        <f>137863.93-1759.67</f>
        <v>136104.25999999998</v>
      </c>
      <c r="F13" s="26">
        <f>126988.89-1659.67</f>
        <v>125329.22</v>
      </c>
      <c r="G13" s="26">
        <f>118771.95-1659.67</f>
        <v>117112.28</v>
      </c>
      <c r="H13" s="26">
        <f>104025.79-1659.67</f>
        <v>102366.12</v>
      </c>
      <c r="I13" s="26">
        <f>90555.91-1659.67</f>
        <v>88896.24</v>
      </c>
      <c r="J13" s="26">
        <f>76071.3-1659.67</f>
        <v>74411.63</v>
      </c>
      <c r="K13" s="26">
        <f>63651.35-1659.67</f>
        <v>61991.68</v>
      </c>
      <c r="L13" s="26">
        <f>50256.6-444.27</f>
        <v>49812.33</v>
      </c>
      <c r="M13" s="26">
        <f>38088.61-146.57</f>
        <v>37942.04</v>
      </c>
      <c r="N13" s="26">
        <f>25520.37-33.34</f>
        <v>25487.03</v>
      </c>
      <c r="O13" s="26">
        <f>13646.82-33.34</f>
        <v>13613.48</v>
      </c>
      <c r="P13" s="26">
        <f>177043.31-25860.08</f>
        <v>151183.22999999998</v>
      </c>
      <c r="Q13" s="93">
        <f>159031.94-25409</f>
        <v>133622.94</v>
      </c>
      <c r="R13" s="50">
        <f>148752-25247.7</f>
        <v>123504.3</v>
      </c>
      <c r="S13" s="50">
        <f>136524.48-25247.7</f>
        <v>111276.78000000001</v>
      </c>
      <c r="T13" s="50">
        <f>114795.7-15970.94</f>
        <v>98824.76</v>
      </c>
      <c r="U13" s="50">
        <f>104448.75-15970.94</f>
        <v>88477.81</v>
      </c>
      <c r="V13" s="50">
        <f>90318.42-15442.46</f>
        <v>74875.959999999992</v>
      </c>
      <c r="W13" s="50">
        <f>65433.75-3453.52</f>
        <v>61980.23</v>
      </c>
      <c r="X13" s="50">
        <f>55126.57-2712.42</f>
        <v>52414.15</v>
      </c>
      <c r="Y13" s="50">
        <f>42205.84-2403.93</f>
        <v>39801.909999999996</v>
      </c>
      <c r="Z13" s="50">
        <f>28246.9-818.93</f>
        <v>27427.97</v>
      </c>
      <c r="AA13" s="50">
        <f>17722.96-818.93</f>
        <v>16904.03</v>
      </c>
      <c r="AB13" s="50">
        <f>146026.84-2342.67</f>
        <v>143684.16999999998</v>
      </c>
      <c r="AC13" s="50">
        <f>133028.4-1931.93</f>
        <v>131096.47</v>
      </c>
      <c r="AD13" s="50">
        <f>121682.06-1834.02</f>
        <v>119848.04</v>
      </c>
      <c r="AE13" s="50">
        <f>109772.24-1834.02</f>
        <v>107938.22</v>
      </c>
      <c r="AF13" s="50">
        <f>97808.42-1834.02</f>
        <v>95974.399999999994</v>
      </c>
      <c r="AG13" s="50">
        <f>86605.59-1834.02</f>
        <v>84771.569999999992</v>
      </c>
      <c r="AH13" s="50">
        <f>74280.25-1834.02</f>
        <v>72446.23</v>
      </c>
      <c r="AI13" s="50">
        <f>61674.61-1834.02</f>
        <v>59840.590000000004</v>
      </c>
      <c r="AJ13" s="50">
        <f>48701.98-484.02</f>
        <v>48217.960000000006</v>
      </c>
      <c r="AK13" s="50">
        <f>38559.67-209.8</f>
        <v>38349.869999999995</v>
      </c>
      <c r="AL13" s="50">
        <f>25904.21-55.23</f>
        <v>25848.98</v>
      </c>
      <c r="AM13" s="50">
        <f>15361.95-55.23</f>
        <v>15306.720000000001</v>
      </c>
      <c r="AN13" s="50">
        <f>135917.55-2608.16</f>
        <v>133309.38999999998</v>
      </c>
      <c r="AO13" s="50">
        <f>121770.16-2603.07</f>
        <v>119167.09</v>
      </c>
      <c r="AP13" s="50">
        <f>111226.59-2445.28</f>
        <v>108781.31</v>
      </c>
      <c r="AQ13" s="50">
        <f>101959.45-2436.03</f>
        <v>99523.42</v>
      </c>
      <c r="AR13" s="50">
        <f>92882.53-2436.03</f>
        <v>90446.5</v>
      </c>
      <c r="AS13" s="50">
        <f>82875.44-2436.03</f>
        <v>80439.41</v>
      </c>
      <c r="AT13" s="50">
        <f>71908.83-2436.03</f>
        <v>69472.800000000003</v>
      </c>
      <c r="AU13" s="50">
        <f>57597.1-2436.03</f>
        <v>55161.07</v>
      </c>
      <c r="AV13" s="50">
        <f>46692.66-705.85</f>
        <v>45986.810000000005</v>
      </c>
      <c r="AW13" s="50">
        <f>35614.51-366.52</f>
        <v>35247.990000000005</v>
      </c>
      <c r="AX13" s="50">
        <f>22673.85-220.91</f>
        <v>22452.94</v>
      </c>
      <c r="AY13" s="50">
        <f>12879.58-220.91</f>
        <v>12658.67</v>
      </c>
      <c r="AZ13" s="50">
        <f>131454.02-874.11</f>
        <v>130579.90999999999</v>
      </c>
      <c r="BA13" s="50">
        <f>114923.15-863.93</f>
        <v>114059.22</v>
      </c>
      <c r="BB13" s="50">
        <f>105638.28-763.26</f>
        <v>104875.02</v>
      </c>
      <c r="BC13" s="50">
        <f>96459.87-635.3</f>
        <v>95824.569999999992</v>
      </c>
      <c r="BD13" s="50">
        <f>84954.66-635.3</f>
        <v>84319.360000000001</v>
      </c>
      <c r="BE13" s="50">
        <f>74219.02-635.3</f>
        <v>73583.72</v>
      </c>
      <c r="BF13" s="50">
        <f>65001.11-635.3</f>
        <v>64365.81</v>
      </c>
      <c r="BG13" s="50">
        <f>53309.84-635.3</f>
        <v>52674.539999999994</v>
      </c>
      <c r="BH13" s="50">
        <f>43246.5-333.8</f>
        <v>42912.7</v>
      </c>
      <c r="BI13" s="50">
        <f>35416.66-20.12</f>
        <v>35396.54</v>
      </c>
      <c r="BJ13" s="50">
        <f>22229.83-0</f>
        <v>22229.83</v>
      </c>
      <c r="BK13" s="50">
        <f>12564.2-0</f>
        <v>12564.2</v>
      </c>
      <c r="BL13" s="50">
        <f>123238.69-1297.46</f>
        <v>121941.23</v>
      </c>
      <c r="BM13" s="50">
        <f>111121.5-978.17</f>
        <v>110143.33</v>
      </c>
      <c r="BN13" s="50">
        <f>100976.77-959.48</f>
        <v>100017.29000000001</v>
      </c>
      <c r="BO13" s="50">
        <f>90910.31-936.27</f>
        <v>89974.04</v>
      </c>
      <c r="BP13" s="50">
        <f>78947.58-936.27</f>
        <v>78011.31</v>
      </c>
      <c r="BQ13" s="26">
        <f>70294.56-936.27</f>
        <v>69358.289999999994</v>
      </c>
      <c r="BR13" s="26">
        <f>(58593.37-936.27)</f>
        <v>57657.100000000006</v>
      </c>
      <c r="BS13" s="26">
        <f>(48997.75-873.18)</f>
        <v>48124.57</v>
      </c>
      <c r="BT13" s="52">
        <f>(40021.33-869.18)</f>
        <v>39152.15</v>
      </c>
      <c r="BU13" s="26">
        <f>(30611.09-697.96)</f>
        <v>29913.13</v>
      </c>
      <c r="BV13" s="26">
        <f>(20217.68-697.96)</f>
        <v>19519.72</v>
      </c>
      <c r="BW13" s="26">
        <f>(11012.82-697.96)</f>
        <v>10314.86</v>
      </c>
      <c r="BX13" s="26">
        <f>(150305.91-28054.87)</f>
        <v>122251.04000000001</v>
      </c>
      <c r="BY13" s="26">
        <f>(138221.17-28054.87)</f>
        <v>110166.30000000002</v>
      </c>
      <c r="BZ13" s="26">
        <f>(128034.77-28054.87)</f>
        <v>99979.900000000009</v>
      </c>
      <c r="CA13" s="26">
        <f>(118919.15-28054.87)</f>
        <v>90864.28</v>
      </c>
      <c r="CB13" s="26">
        <f>(108842.82-28054.87)</f>
        <v>80787.950000000012</v>
      </c>
      <c r="CC13" s="26">
        <f>(99979.98-28054.87)</f>
        <v>71925.11</v>
      </c>
      <c r="CD13" s="26">
        <f>(86616.98-28054.87)</f>
        <v>58562.11</v>
      </c>
      <c r="CE13" s="26">
        <f>(77238.59-27981.04)</f>
        <v>49257.549999999996</v>
      </c>
      <c r="CF13" s="26">
        <f>(51279.97-11709.7)</f>
        <v>39570.270000000004</v>
      </c>
      <c r="CG13" s="26">
        <f>(30585.44-1135.78)</f>
        <v>29449.66</v>
      </c>
      <c r="CH13" s="26">
        <f>(21028.39-150)</f>
        <v>20878.39</v>
      </c>
      <c r="CI13" s="9">
        <v>11098.15</v>
      </c>
      <c r="CJ13" s="26">
        <f>(135067.49-23755.84)</f>
        <v>111311.65</v>
      </c>
      <c r="CK13" s="26">
        <f>(125182.71-23755.84)</f>
        <v>101426.87000000001</v>
      </c>
      <c r="CL13" s="26">
        <f>(116596.59-23755.84)</f>
        <v>92840.75</v>
      </c>
      <c r="CM13" s="26">
        <f>(106649.09-23755.84)</f>
        <v>82893.25</v>
      </c>
      <c r="CN13" s="26">
        <f>(96846.84-23755.84)</f>
        <v>73091</v>
      </c>
      <c r="CO13" s="26">
        <f>(88425.34-23755.84)</f>
        <v>64669.5</v>
      </c>
      <c r="CP13" s="26">
        <f>(77233.86-23755.84)</f>
        <v>53478.020000000004</v>
      </c>
      <c r="CQ13" s="26">
        <f>(53834.91-8057.02)</f>
        <v>45777.89</v>
      </c>
      <c r="CR13" s="26">
        <f>(44391.49-7344.94)</f>
        <v>37046.549999999996</v>
      </c>
      <c r="CS13" s="26">
        <f>(27338.65-1526.32)</f>
        <v>25812.33</v>
      </c>
      <c r="CT13" s="26">
        <f>(19258.71-1288.57)</f>
        <v>17970.14</v>
      </c>
      <c r="CU13" s="26">
        <f>(10649.99-506.65)</f>
        <v>10143.34</v>
      </c>
      <c r="CV13" s="10">
        <v>115540.4</v>
      </c>
      <c r="CW13" s="10">
        <v>104659.05</v>
      </c>
      <c r="CX13" s="10">
        <v>95877.11</v>
      </c>
      <c r="CY13" s="10">
        <v>86530.68</v>
      </c>
      <c r="CZ13" s="10">
        <v>78335.34</v>
      </c>
      <c r="DA13" s="48">
        <f>98543.87-28573.11</f>
        <v>69970.759999999995</v>
      </c>
      <c r="DB13" s="48">
        <f>68115.97-9005.62</f>
        <v>59110.35</v>
      </c>
      <c r="DC13" s="48">
        <f>51337.23-2013.16</f>
        <v>49324.07</v>
      </c>
      <c r="DD13" s="48">
        <f>41173.06-1105.92</f>
        <v>40067.14</v>
      </c>
      <c r="DE13" s="48">
        <f>31849.6-797.94</f>
        <v>31051.66</v>
      </c>
      <c r="DF13" s="48">
        <f>21770.23-197.94</f>
        <v>21572.29</v>
      </c>
      <c r="DG13" s="48">
        <f>13700.23-197.94</f>
        <v>13502.289999999999</v>
      </c>
      <c r="DH13" s="48">
        <f>141771.38-37905.51</f>
        <v>103865.87</v>
      </c>
      <c r="DI13" s="48">
        <f>131940.21-37617.8</f>
        <v>94322.409999999989</v>
      </c>
      <c r="DJ13" s="48">
        <f>123167.82-36987</f>
        <v>86180.82</v>
      </c>
      <c r="DK13" s="48">
        <f>115581.16-36987</f>
        <v>78594.16</v>
      </c>
      <c r="DL13" s="48">
        <f>100991.76-36987</f>
        <v>64004.759999999995</v>
      </c>
      <c r="DM13" s="48">
        <f>89873.8-35301.79</f>
        <v>54572.01</v>
      </c>
      <c r="DN13" s="48">
        <f>57686.79-10566.83</f>
        <v>47119.96</v>
      </c>
      <c r="DO13" s="48">
        <f>46573.23-7698.84</f>
        <v>38874.39</v>
      </c>
      <c r="DP13" s="48">
        <f>35702.89-6835.98</f>
        <v>28866.91</v>
      </c>
      <c r="DQ13" s="48">
        <f>15509.91-392.48</f>
        <v>15117.43</v>
      </c>
      <c r="DR13" s="48">
        <f>9727.03-198.3</f>
        <v>9528.7300000000014</v>
      </c>
      <c r="DS13" s="48">
        <f>165283.61-55089.91</f>
        <v>110193.69999999998</v>
      </c>
      <c r="DT13" s="48">
        <f>154985.88-55089.91</f>
        <v>99895.97</v>
      </c>
      <c r="DU13" s="48">
        <f>147908.73-55089.91</f>
        <v>92818.82</v>
      </c>
      <c r="DV13" s="48">
        <f>137385.94-53318.11</f>
        <v>84067.83</v>
      </c>
      <c r="DW13" s="48">
        <f>129017.7-53318.11</f>
        <v>75699.59</v>
      </c>
      <c r="DX13" s="48">
        <f>120422.8-53318.11</f>
        <v>67104.69</v>
      </c>
      <c r="DY13" s="48">
        <f>110494.93-53318.11</f>
        <v>57176.819999999992</v>
      </c>
      <c r="DZ13" s="48">
        <f>102406.75-52731.61</f>
        <v>49675.14</v>
      </c>
      <c r="EA13" s="48">
        <f>56305.75-17474.25</f>
        <v>38831.5</v>
      </c>
      <c r="EB13" s="48">
        <f>29627.71-1697.38</f>
        <v>27930.329999999998</v>
      </c>
      <c r="EC13" s="48">
        <f>19782.49-632.98</f>
        <v>19149.510000000002</v>
      </c>
      <c r="ED13" s="48">
        <f>9721.86-132.98</f>
        <v>9588.880000000001</v>
      </c>
    </row>
    <row r="14" spans="1:139" x14ac:dyDescent="0.25">
      <c r="A14" s="75" t="s">
        <v>38</v>
      </c>
      <c r="D14" s="1" t="s">
        <v>43</v>
      </c>
      <c r="E14" s="26">
        <f>+(164243.35-4106)/12*11</f>
        <v>146792.57083333333</v>
      </c>
      <c r="F14" s="26">
        <f>+(164243.35-4106)/12*10</f>
        <v>133447.79166666669</v>
      </c>
      <c r="G14" s="26">
        <f>+(164243.35-4106)/12*9</f>
        <v>120103.01250000001</v>
      </c>
      <c r="H14" s="26">
        <f>+(164243.35-4106)/12*8</f>
        <v>106758.23333333334</v>
      </c>
      <c r="I14" s="26">
        <f>+(164243.35-4106)/12*7</f>
        <v>93413.454166666663</v>
      </c>
      <c r="J14" s="26">
        <f>+(164243.35-4106)/12*6</f>
        <v>80068.675000000003</v>
      </c>
      <c r="K14" s="26">
        <f>+(164243.35-4106)/12*5</f>
        <v>66723.895833333343</v>
      </c>
      <c r="L14" s="26">
        <f>+(164243.35-4106)/12*4</f>
        <v>53379.116666666669</v>
      </c>
      <c r="M14" s="26">
        <f>+(164243.35-4106)/12*3</f>
        <v>40034.337500000001</v>
      </c>
      <c r="N14" s="26">
        <f>+(164243.35-4106)/12*2</f>
        <v>26689.558333333334</v>
      </c>
      <c r="O14" s="26">
        <f>+(164243.35-4106)/12*1</f>
        <v>13344.779166666667</v>
      </c>
      <c r="P14" s="26">
        <f>+(165347-31090)/12*12</f>
        <v>134257</v>
      </c>
      <c r="Q14" s="93">
        <f>+(165347-31090)/12*11</f>
        <v>123068.91666666667</v>
      </c>
      <c r="R14" s="50">
        <f>+(165347-31090)/12*10</f>
        <v>111880.83333333334</v>
      </c>
      <c r="S14" s="50">
        <f>+(165347-31090)/12*9</f>
        <v>100692.75</v>
      </c>
      <c r="T14" s="50">
        <f>+(165347-31090)/12*8</f>
        <v>89504.666666666672</v>
      </c>
      <c r="U14" s="50">
        <f>+(165347-31090)/12*7</f>
        <v>78316.583333333343</v>
      </c>
      <c r="V14" s="50">
        <f>+(165347-31090)/12*6</f>
        <v>67128.5</v>
      </c>
      <c r="W14" s="50">
        <f>+(165347-31090)/12*5</f>
        <v>55940.416666666672</v>
      </c>
      <c r="X14" s="50">
        <f>+(165347-31090)/12*4</f>
        <v>44752.333333333336</v>
      </c>
      <c r="Y14" s="50">
        <f>+(165347-31090)/12*3</f>
        <v>33564.25</v>
      </c>
      <c r="Z14" s="50">
        <f>+(165347-31090)/12*2</f>
        <v>22376.166666666668</v>
      </c>
      <c r="AA14" s="50">
        <f>+(165347-31090)/12*1</f>
        <v>11188.083333333334</v>
      </c>
      <c r="AB14" s="50">
        <f>+(165347-31090)/12*12</f>
        <v>134257</v>
      </c>
      <c r="AC14" s="50">
        <f>+(165347-31090)/12*11</f>
        <v>123068.91666666667</v>
      </c>
      <c r="AD14" s="50">
        <f>+(165347-31090)/12*10</f>
        <v>111880.83333333334</v>
      </c>
      <c r="AE14" s="50">
        <f>+(165347-31090)/12*9</f>
        <v>100692.75</v>
      </c>
      <c r="AF14" s="50">
        <f>+(165347-31090)/12*8</f>
        <v>89504.666666666672</v>
      </c>
      <c r="AG14" s="50">
        <f>+(165347-31090)/12*7</f>
        <v>78316.583333333343</v>
      </c>
      <c r="AH14" s="50">
        <f>+(165347-31090)/12*6</f>
        <v>67128.5</v>
      </c>
      <c r="AI14" s="50">
        <f>+(165347-31090)/12*5</f>
        <v>55940.416666666672</v>
      </c>
      <c r="AJ14" s="50">
        <f>+(165347-31090)/12*4</f>
        <v>44752.333333333336</v>
      </c>
      <c r="AK14" s="50">
        <f>+(165347-31090)/12*3</f>
        <v>33564.25</v>
      </c>
      <c r="AL14" s="50">
        <f>+(165347-31090)/12*2</f>
        <v>22376.166666666668</v>
      </c>
      <c r="AM14" s="50">
        <f>+(165347-31090)/12*1</f>
        <v>11188.083333333334</v>
      </c>
      <c r="AN14" s="50">
        <f>+(165347-31090)/12*12</f>
        <v>134257</v>
      </c>
      <c r="AO14" s="50">
        <f>+(165347-31090)/12*11</f>
        <v>123068.91666666667</v>
      </c>
      <c r="AP14" s="50">
        <f>+(165347-31090)/12*10</f>
        <v>111880.83333333334</v>
      </c>
      <c r="AQ14" s="50">
        <f>+(165347-31090)/12*9</f>
        <v>100692.75</v>
      </c>
      <c r="AR14" s="50">
        <f>+(165347-31090)/12*8</f>
        <v>89504.666666666672</v>
      </c>
      <c r="AS14" s="50">
        <f>+(165347-31090)/12*7</f>
        <v>78316.583333333343</v>
      </c>
      <c r="AT14" s="50">
        <f>+(165347-31090)/12*6</f>
        <v>67128.5</v>
      </c>
      <c r="AU14" s="50">
        <f>+(165347-31090)/12*5</f>
        <v>55940.416666666672</v>
      </c>
      <c r="AV14" s="50">
        <f>+(165347-31090)/12*4</f>
        <v>44752.333333333336</v>
      </c>
      <c r="AW14" s="50">
        <f>+(165347-31090)/12*3</f>
        <v>33564.25</v>
      </c>
      <c r="AX14" s="50">
        <f>+(165347-31090)/12*2</f>
        <v>22376.166666666668</v>
      </c>
      <c r="AY14" s="50">
        <f>+(165347-31090)/12*1</f>
        <v>11188.083333333334</v>
      </c>
      <c r="AZ14" s="50">
        <f>+(165347-31090)/12*12</f>
        <v>134257</v>
      </c>
      <c r="BA14" s="50">
        <f>+(165347-31090)/12*11</f>
        <v>123068.91666666667</v>
      </c>
      <c r="BB14" s="50">
        <f>+(165347-31090)/12*10</f>
        <v>111880.83333333334</v>
      </c>
      <c r="BC14" s="50">
        <f>+(165347-31090)/12*9</f>
        <v>100692.75</v>
      </c>
      <c r="BD14" s="50">
        <f>+(165347-31090)/12*8</f>
        <v>89504.666666666672</v>
      </c>
      <c r="BE14" s="50">
        <f>+(165347-31090)/12*7</f>
        <v>78316.583333333343</v>
      </c>
      <c r="BF14" s="50">
        <f>+(165347-31090)/12*6</f>
        <v>67128.5</v>
      </c>
      <c r="BG14" s="50">
        <f>+(165347-31090)/12*5</f>
        <v>55940.416666666672</v>
      </c>
      <c r="BH14" s="50">
        <f>+(165347-31090)/12*4</f>
        <v>44752.333333333336</v>
      </c>
      <c r="BI14" s="50">
        <f>+(165347-31090)/12*3</f>
        <v>33564.25</v>
      </c>
      <c r="BJ14" s="50">
        <f>+(165347-31090)/12*2</f>
        <v>22376.166666666668</v>
      </c>
      <c r="BK14" s="50">
        <f>+(165347-31090)/12*1</f>
        <v>11188.083333333334</v>
      </c>
      <c r="BL14" s="50">
        <f>+(165347-31090)/12*12</f>
        <v>134257</v>
      </c>
      <c r="BM14" s="50">
        <f>+(165347-31090)/12*11</f>
        <v>123068.91666666667</v>
      </c>
      <c r="BN14" s="50">
        <f>+(165347-31090)/12*10</f>
        <v>111880.83333333334</v>
      </c>
      <c r="BO14" s="50">
        <f>+(165347-31090)/12*9</f>
        <v>100692.75</v>
      </c>
      <c r="BP14" s="50">
        <f>+(165347-31090)/12*8</f>
        <v>89504.666666666672</v>
      </c>
      <c r="BQ14" s="26">
        <f>+(165347-31090)/12*7</f>
        <v>78316.583333333343</v>
      </c>
      <c r="BR14" s="26">
        <f>+(165347-31090)/12*6</f>
        <v>67128.5</v>
      </c>
      <c r="BS14" s="26">
        <f>+(165347-31090)/12*5</f>
        <v>55940.416666666672</v>
      </c>
      <c r="BT14" s="52">
        <f>+(165347-31090)/12*4</f>
        <v>44752.333333333336</v>
      </c>
      <c r="BU14" s="26">
        <f>+(165347-31090)/12*3</f>
        <v>33564.25</v>
      </c>
      <c r="BV14" s="26">
        <f>+(165347-31090)/12*2</f>
        <v>22376.166666666668</v>
      </c>
      <c r="BW14" s="26">
        <f>+(165347-31090)/12*1</f>
        <v>11188.083333333334</v>
      </c>
      <c r="BX14" s="26">
        <f>+(173675-38900)/12*12</f>
        <v>134775</v>
      </c>
      <c r="BY14" s="26">
        <f>+(173675-38900)/12*11</f>
        <v>123543.75</v>
      </c>
      <c r="BZ14" s="26">
        <f>+(173675-38900)/12*10</f>
        <v>112312.5</v>
      </c>
      <c r="CA14" s="26">
        <f>+(173675-38900)/12*9</f>
        <v>101081.25</v>
      </c>
      <c r="CB14" s="26">
        <f>+(173675-38900)/12*8</f>
        <v>89850</v>
      </c>
      <c r="CC14" s="26">
        <f>+(173675-38900)/12*7</f>
        <v>78618.75</v>
      </c>
      <c r="CD14" s="26">
        <f>+(173675-38900)/12*6</f>
        <v>67387.5</v>
      </c>
      <c r="CE14" s="26">
        <f>+(173675-38900)/12*5</f>
        <v>56156.25</v>
      </c>
      <c r="CF14" s="26">
        <f>+(173675-38900)/12*4</f>
        <v>44925</v>
      </c>
      <c r="CG14" s="26">
        <f>+(173675-38900)/12*3</f>
        <v>33693.75</v>
      </c>
      <c r="CH14" s="26">
        <f>+(173675-38900)/12*2</f>
        <v>22462.5</v>
      </c>
      <c r="CI14" s="26">
        <f>+(173675-38900)/12*1</f>
        <v>11231.25</v>
      </c>
      <c r="CJ14" s="26">
        <f>+(158897-34415)/12*12</f>
        <v>124482</v>
      </c>
      <c r="CK14" s="26">
        <f>+(158897-34415)/12*11</f>
        <v>114108.5</v>
      </c>
      <c r="CL14" s="26">
        <f>+(158897-34415)/12*10</f>
        <v>103735</v>
      </c>
      <c r="CM14" s="26">
        <f>+(158897-34415)/12*9</f>
        <v>93361.5</v>
      </c>
      <c r="CN14" s="26">
        <f>+(158897-34415)/12*8</f>
        <v>82988</v>
      </c>
      <c r="CO14" s="26">
        <f>+(158897-34415)/12*7</f>
        <v>72614.5</v>
      </c>
      <c r="CP14" s="26">
        <f>+(158897-34415)/12*6</f>
        <v>62241</v>
      </c>
      <c r="CQ14" s="26">
        <f>+(158897-34415)/12*5</f>
        <v>51867.5</v>
      </c>
      <c r="CR14" s="26">
        <f>+(158897-34415)/12*4</f>
        <v>41494</v>
      </c>
      <c r="CS14" s="26">
        <f>+(158897-34415)/12*3</f>
        <v>31120.5</v>
      </c>
      <c r="CT14" s="26">
        <f>+(158897-34415)/12*2</f>
        <v>20747</v>
      </c>
      <c r="CU14" s="26">
        <f>+(158897-34415)/12</f>
        <v>10373.5</v>
      </c>
      <c r="CV14" s="48">
        <f>+(169577-41565)/12*12</f>
        <v>128012</v>
      </c>
      <c r="CW14" s="48">
        <f>+(169577-41565)/12*11</f>
        <v>117344.33333333333</v>
      </c>
      <c r="CX14" s="48">
        <f>+(169577-41565)/12*10</f>
        <v>106676.66666666666</v>
      </c>
      <c r="CY14" s="48">
        <f>+(169577-41565)/12*9</f>
        <v>96009</v>
      </c>
      <c r="CZ14" s="48">
        <f>+(169577-41565)/12*8</f>
        <v>85341.333333333328</v>
      </c>
      <c r="DA14" s="48">
        <f>+(169577-41565)/12*7</f>
        <v>74673.666666666657</v>
      </c>
      <c r="DB14" s="48">
        <f>+(169577-41565)/12*6</f>
        <v>64006</v>
      </c>
      <c r="DC14" s="48">
        <f>+(169577-41565)/12*5</f>
        <v>53338.333333333328</v>
      </c>
      <c r="DD14" s="48">
        <f>+(169577-41565)/12*4</f>
        <v>42670.666666666664</v>
      </c>
      <c r="DE14" s="48">
        <f>+(169577-41565)/12*3</f>
        <v>32003</v>
      </c>
      <c r="DF14" s="48">
        <f>+(169577-41565)/12*2</f>
        <v>21335.333333333332</v>
      </c>
      <c r="DG14" s="48">
        <f>+(169577-41565)/12</f>
        <v>10667.666666666666</v>
      </c>
      <c r="DH14" s="48">
        <f>+(171526-40275)/12*11</f>
        <v>120313.41666666667</v>
      </c>
      <c r="DI14" s="48">
        <f>+(171526-40275)/12*10</f>
        <v>109375.83333333334</v>
      </c>
      <c r="DJ14" s="48">
        <f>+(171526-40275)/12*9</f>
        <v>98438.25</v>
      </c>
      <c r="DK14" s="48">
        <f>+(171526-40275)/12*8</f>
        <v>87500.666666666672</v>
      </c>
      <c r="DL14" s="48">
        <f>+(171526-40275)/12*7</f>
        <v>76563.083333333343</v>
      </c>
      <c r="DM14" s="48">
        <f>+(171526-40275)/12*6</f>
        <v>65625.5</v>
      </c>
      <c r="DN14" s="48">
        <f>+(171526-40275)/12*5</f>
        <v>54687.916666666672</v>
      </c>
      <c r="DO14" s="48">
        <f>+(171526-40275)/12*4</f>
        <v>43750.333333333336</v>
      </c>
      <c r="DP14" s="48">
        <f>+(171526-40275)/12*3</f>
        <v>32812.75</v>
      </c>
      <c r="DQ14" s="48">
        <f>+(171526-40275)/12*2</f>
        <v>21875.166666666668</v>
      </c>
      <c r="DR14" s="48">
        <f>+(171526-40275)/12</f>
        <v>10937.583333333334</v>
      </c>
      <c r="DS14" s="48">
        <f>131660/12*12</f>
        <v>131660</v>
      </c>
      <c r="DT14" s="48">
        <f>131660/12*11</f>
        <v>120688.33333333333</v>
      </c>
      <c r="DU14" s="48">
        <f>131660/12*10</f>
        <v>109716.66666666666</v>
      </c>
      <c r="DV14" s="48">
        <f>131660/12*9</f>
        <v>98745</v>
      </c>
      <c r="DW14" s="48">
        <f>131660/12*8</f>
        <v>87773.333333333328</v>
      </c>
      <c r="DX14" s="48">
        <f>131660/12*7</f>
        <v>76801.666666666657</v>
      </c>
      <c r="DY14" s="48">
        <f>131660/12*6</f>
        <v>65830</v>
      </c>
      <c r="DZ14" s="48">
        <f>131660/12*5</f>
        <v>54858.333333333328</v>
      </c>
      <c r="EA14" s="48">
        <f>131660/12*4</f>
        <v>43886.666666666664</v>
      </c>
      <c r="EB14" s="48">
        <f>131660/12*3</f>
        <v>32915</v>
      </c>
      <c r="EC14" s="48">
        <f>131660/12*2</f>
        <v>21943.333333333332</v>
      </c>
      <c r="ED14" s="48">
        <f>131660/12</f>
        <v>10971.666666666666</v>
      </c>
    </row>
    <row r="15" spans="1:139" x14ac:dyDescent="0.25">
      <c r="D15" s="1" t="s">
        <v>44</v>
      </c>
      <c r="E15" s="24">
        <f t="shared" ref="E15" si="32">+E14-E13</f>
        <v>10688.310833333351</v>
      </c>
      <c r="F15" s="24">
        <f t="shared" ref="F15:G15" si="33">+F14-F13</f>
        <v>8118.5716666666849</v>
      </c>
      <c r="G15" s="24">
        <f t="shared" si="33"/>
        <v>2990.7325000000128</v>
      </c>
      <c r="H15" s="24">
        <f t="shared" ref="H15:I15" si="34">+H14-H13</f>
        <v>4392.1133333333419</v>
      </c>
      <c r="I15" s="24">
        <f t="shared" si="34"/>
        <v>4517.2141666666575</v>
      </c>
      <c r="J15" s="24">
        <f t="shared" ref="J15:K15" si="35">+J14-J13</f>
        <v>5657.0449999999983</v>
      </c>
      <c r="K15" s="24">
        <f t="shared" si="35"/>
        <v>4732.2158333333427</v>
      </c>
      <c r="L15" s="24">
        <f t="shared" ref="L15:M15" si="36">+L14-L13</f>
        <v>3566.7866666666669</v>
      </c>
      <c r="M15" s="24">
        <f t="shared" si="36"/>
        <v>2092.2975000000006</v>
      </c>
      <c r="N15" s="24">
        <f t="shared" ref="N15:O15" si="37">+N14-N13</f>
        <v>1202.5283333333355</v>
      </c>
      <c r="O15" s="24">
        <f t="shared" si="37"/>
        <v>-268.70083333333241</v>
      </c>
      <c r="P15" s="24">
        <f t="shared" ref="P15:CA15" si="38">+P14-P13</f>
        <v>-16926.229999999981</v>
      </c>
      <c r="Q15" s="91">
        <f t="shared" si="38"/>
        <v>-10554.023333333331</v>
      </c>
      <c r="R15" s="83">
        <f t="shared" si="38"/>
        <v>-11623.46666666666</v>
      </c>
      <c r="S15" s="83">
        <f t="shared" si="38"/>
        <v>-10584.030000000013</v>
      </c>
      <c r="T15" s="83">
        <f t="shared" si="38"/>
        <v>-9320.0933333333232</v>
      </c>
      <c r="U15" s="83">
        <f t="shared" si="38"/>
        <v>-10161.226666666655</v>
      </c>
      <c r="V15" s="83">
        <f t="shared" si="38"/>
        <v>-7747.4599999999919</v>
      </c>
      <c r="W15" s="83">
        <f t="shared" si="38"/>
        <v>-6039.8133333333317</v>
      </c>
      <c r="X15" s="83">
        <f t="shared" si="38"/>
        <v>-7661.8166666666657</v>
      </c>
      <c r="Y15" s="83">
        <f t="shared" si="38"/>
        <v>-6237.6599999999962</v>
      </c>
      <c r="Z15" s="83">
        <f t="shared" si="38"/>
        <v>-5051.8033333333333</v>
      </c>
      <c r="AA15" s="83">
        <f t="shared" si="38"/>
        <v>-5715.9466666666649</v>
      </c>
      <c r="AB15" s="83">
        <f t="shared" si="38"/>
        <v>-9427.1699999999837</v>
      </c>
      <c r="AC15" s="83">
        <f t="shared" si="38"/>
        <v>-8027.5533333333296</v>
      </c>
      <c r="AD15" s="83">
        <f t="shared" si="38"/>
        <v>-7967.2066666666506</v>
      </c>
      <c r="AE15" s="83">
        <f t="shared" si="38"/>
        <v>-7245.4700000000012</v>
      </c>
      <c r="AF15" s="83">
        <f t="shared" si="38"/>
        <v>-6469.7333333333227</v>
      </c>
      <c r="AG15" s="24">
        <f t="shared" si="38"/>
        <v>-6454.9866666666494</v>
      </c>
      <c r="AH15" s="83">
        <f t="shared" si="38"/>
        <v>-5317.7299999999959</v>
      </c>
      <c r="AI15" s="83">
        <f t="shared" si="38"/>
        <v>-3900.1733333333323</v>
      </c>
      <c r="AJ15" s="83">
        <f t="shared" si="38"/>
        <v>-3465.6266666666706</v>
      </c>
      <c r="AK15" s="24">
        <f t="shared" si="38"/>
        <v>-4785.6199999999953</v>
      </c>
      <c r="AL15" s="24">
        <f t="shared" si="38"/>
        <v>-3472.8133333333317</v>
      </c>
      <c r="AM15" s="24">
        <f t="shared" si="38"/>
        <v>-4118.6366666666672</v>
      </c>
      <c r="AN15" s="24">
        <f t="shared" si="38"/>
        <v>947.61000000001513</v>
      </c>
      <c r="AO15" s="24">
        <f t="shared" si="38"/>
        <v>3901.826666666675</v>
      </c>
      <c r="AP15" s="24">
        <f t="shared" si="38"/>
        <v>3099.5233333333454</v>
      </c>
      <c r="AQ15" s="24">
        <f t="shared" si="38"/>
        <v>1169.3300000000017</v>
      </c>
      <c r="AR15" s="24">
        <f t="shared" si="38"/>
        <v>-941.83333333332848</v>
      </c>
      <c r="AS15" s="24">
        <f t="shared" si="38"/>
        <v>-2122.8266666666605</v>
      </c>
      <c r="AT15" s="24">
        <f t="shared" si="38"/>
        <v>-2344.3000000000029</v>
      </c>
      <c r="AU15" s="24">
        <f t="shared" si="38"/>
        <v>779.34666666667181</v>
      </c>
      <c r="AV15" s="24">
        <f t="shared" si="38"/>
        <v>-1234.4766666666692</v>
      </c>
      <c r="AW15" s="24">
        <f t="shared" si="38"/>
        <v>-1683.7400000000052</v>
      </c>
      <c r="AX15" s="24">
        <f t="shared" si="38"/>
        <v>-76.773333333330811</v>
      </c>
      <c r="AY15" s="24">
        <f t="shared" si="38"/>
        <v>-1470.5866666666661</v>
      </c>
      <c r="AZ15" s="24">
        <f t="shared" si="38"/>
        <v>3677.0900000000111</v>
      </c>
      <c r="BA15" s="24">
        <f t="shared" si="38"/>
        <v>9009.6966666666704</v>
      </c>
      <c r="BB15" s="24">
        <f t="shared" si="38"/>
        <v>7005.813333333339</v>
      </c>
      <c r="BC15" s="24">
        <f t="shared" si="38"/>
        <v>4868.1800000000076</v>
      </c>
      <c r="BD15" s="24">
        <f t="shared" si="38"/>
        <v>5185.3066666666709</v>
      </c>
      <c r="BE15" s="24">
        <f t="shared" si="38"/>
        <v>4732.8633333333419</v>
      </c>
      <c r="BF15" s="24">
        <f t="shared" si="38"/>
        <v>2762.6900000000023</v>
      </c>
      <c r="BG15" s="24">
        <f t="shared" si="38"/>
        <v>3265.8766666666779</v>
      </c>
      <c r="BH15" s="24">
        <f t="shared" si="38"/>
        <v>1839.6333333333387</v>
      </c>
      <c r="BI15" s="24">
        <f t="shared" si="38"/>
        <v>-1832.2900000000009</v>
      </c>
      <c r="BJ15" s="24">
        <f t="shared" si="38"/>
        <v>146.33666666666613</v>
      </c>
      <c r="BK15" s="24">
        <f t="shared" si="38"/>
        <v>-1376.1166666666668</v>
      </c>
      <c r="BL15" s="24">
        <f t="shared" si="38"/>
        <v>12315.770000000004</v>
      </c>
      <c r="BM15" s="24">
        <f t="shared" si="38"/>
        <v>12925.58666666667</v>
      </c>
      <c r="BN15" s="24">
        <f t="shared" si="38"/>
        <v>11863.543333333335</v>
      </c>
      <c r="BO15" s="24">
        <f t="shared" si="38"/>
        <v>10718.710000000006</v>
      </c>
      <c r="BP15" s="24">
        <f t="shared" si="38"/>
        <v>11493.356666666674</v>
      </c>
      <c r="BQ15" s="42">
        <f t="shared" si="38"/>
        <v>8958.2933333333494</v>
      </c>
      <c r="BR15" s="24">
        <f t="shared" si="38"/>
        <v>9471.3999999999942</v>
      </c>
      <c r="BS15" s="24">
        <f t="shared" si="38"/>
        <v>7815.8466666666718</v>
      </c>
      <c r="BT15" s="43">
        <f t="shared" si="38"/>
        <v>5600.1833333333343</v>
      </c>
      <c r="BU15" s="24">
        <f t="shared" si="38"/>
        <v>3651.119999999999</v>
      </c>
      <c r="BV15" s="24">
        <f t="shared" si="38"/>
        <v>2856.4466666666667</v>
      </c>
      <c r="BW15" s="24">
        <f t="shared" si="38"/>
        <v>873.22333333333336</v>
      </c>
      <c r="BX15" s="24">
        <f t="shared" si="38"/>
        <v>12523.959999999992</v>
      </c>
      <c r="BY15" s="24">
        <f t="shared" si="38"/>
        <v>13377.449999999983</v>
      </c>
      <c r="BZ15" s="24">
        <f t="shared" si="38"/>
        <v>12332.599999999991</v>
      </c>
      <c r="CA15" s="24">
        <f t="shared" si="38"/>
        <v>10216.970000000001</v>
      </c>
      <c r="CB15" s="24">
        <f t="shared" ref="CB15:ED15" si="39">+CB14-CB13</f>
        <v>9062.0499999999884</v>
      </c>
      <c r="CC15" s="24">
        <f t="shared" si="39"/>
        <v>6693.6399999999994</v>
      </c>
      <c r="CD15" s="24">
        <f t="shared" si="39"/>
        <v>8825.39</v>
      </c>
      <c r="CE15" s="24">
        <f t="shared" si="39"/>
        <v>6898.7000000000044</v>
      </c>
      <c r="CF15" s="24">
        <f t="shared" si="39"/>
        <v>5354.7299999999959</v>
      </c>
      <c r="CG15" s="24">
        <f t="shared" si="39"/>
        <v>4244.09</v>
      </c>
      <c r="CH15" s="24">
        <f t="shared" si="39"/>
        <v>1584.1100000000006</v>
      </c>
      <c r="CI15" s="24">
        <f t="shared" si="39"/>
        <v>133.10000000000036</v>
      </c>
      <c r="CJ15" s="24">
        <f t="shared" si="39"/>
        <v>13170.350000000006</v>
      </c>
      <c r="CK15" s="24">
        <f t="shared" si="39"/>
        <v>12681.62999999999</v>
      </c>
      <c r="CL15" s="24">
        <f t="shared" si="39"/>
        <v>10894.25</v>
      </c>
      <c r="CM15" s="24">
        <f t="shared" si="39"/>
        <v>10468.25</v>
      </c>
      <c r="CN15" s="24">
        <f t="shared" si="39"/>
        <v>9897</v>
      </c>
      <c r="CO15" s="24">
        <f t="shared" si="39"/>
        <v>7945</v>
      </c>
      <c r="CP15" s="24">
        <f t="shared" si="39"/>
        <v>8762.9799999999959</v>
      </c>
      <c r="CQ15" s="24">
        <f t="shared" si="39"/>
        <v>6089.6100000000006</v>
      </c>
      <c r="CR15" s="24">
        <f t="shared" si="39"/>
        <v>4447.4500000000044</v>
      </c>
      <c r="CS15" s="24">
        <f t="shared" si="39"/>
        <v>5308.1699999999983</v>
      </c>
      <c r="CT15" s="24">
        <f t="shared" si="39"/>
        <v>2776.8600000000006</v>
      </c>
      <c r="CU15" s="24">
        <f t="shared" si="39"/>
        <v>230.15999999999985</v>
      </c>
      <c r="CV15" s="24">
        <f t="shared" si="39"/>
        <v>12471.600000000006</v>
      </c>
      <c r="CW15" s="24">
        <f t="shared" si="39"/>
        <v>12685.283333333326</v>
      </c>
      <c r="CX15" s="24">
        <f t="shared" si="39"/>
        <v>10799.556666666656</v>
      </c>
      <c r="CY15" s="24">
        <f t="shared" si="39"/>
        <v>9478.320000000007</v>
      </c>
      <c r="CZ15" s="24">
        <f t="shared" si="39"/>
        <v>7005.993333333332</v>
      </c>
      <c r="DA15" s="24">
        <f t="shared" si="39"/>
        <v>4702.9066666666622</v>
      </c>
      <c r="DB15" s="24">
        <f t="shared" si="39"/>
        <v>4895.6500000000015</v>
      </c>
      <c r="DC15" s="24">
        <f t="shared" si="39"/>
        <v>4014.2633333333288</v>
      </c>
      <c r="DD15" s="24">
        <f t="shared" si="39"/>
        <v>2603.5266666666648</v>
      </c>
      <c r="DE15" s="24">
        <f t="shared" si="39"/>
        <v>951.34000000000015</v>
      </c>
      <c r="DF15" s="24">
        <f t="shared" si="39"/>
        <v>-236.95666666666875</v>
      </c>
      <c r="DG15" s="24">
        <f t="shared" si="39"/>
        <v>-2834.623333333333</v>
      </c>
      <c r="DH15" s="24">
        <f t="shared" si="39"/>
        <v>16447.546666666676</v>
      </c>
      <c r="DI15" s="24">
        <f t="shared" si="39"/>
        <v>15053.423333333354</v>
      </c>
      <c r="DJ15" s="24">
        <f t="shared" si="39"/>
        <v>12257.429999999993</v>
      </c>
      <c r="DK15" s="24">
        <f t="shared" si="39"/>
        <v>8906.506666666668</v>
      </c>
      <c r="DL15" s="24">
        <f t="shared" si="39"/>
        <v>12558.323333333348</v>
      </c>
      <c r="DM15" s="24">
        <f t="shared" si="39"/>
        <v>11053.489999999998</v>
      </c>
      <c r="DN15" s="24">
        <f t="shared" si="39"/>
        <v>7567.9566666666724</v>
      </c>
      <c r="DO15" s="24">
        <f t="shared" si="39"/>
        <v>4875.9433333333363</v>
      </c>
      <c r="DP15" s="24">
        <f t="shared" si="39"/>
        <v>3945.84</v>
      </c>
      <c r="DQ15" s="24">
        <f t="shared" si="39"/>
        <v>6757.7366666666676</v>
      </c>
      <c r="DR15" s="24">
        <f t="shared" si="39"/>
        <v>1408.8533333333326</v>
      </c>
      <c r="DS15" s="24">
        <f t="shared" si="39"/>
        <v>21466.300000000017</v>
      </c>
      <c r="DT15" s="24">
        <f t="shared" si="39"/>
        <v>20792.363333333327</v>
      </c>
      <c r="DU15" s="24">
        <f t="shared" si="39"/>
        <v>16897.84666666665</v>
      </c>
      <c r="DV15" s="24">
        <f t="shared" si="39"/>
        <v>14677.169999999998</v>
      </c>
      <c r="DW15" s="24">
        <f t="shared" si="39"/>
        <v>12073.743333333332</v>
      </c>
      <c r="DX15" s="24">
        <f t="shared" si="39"/>
        <v>9696.9766666666546</v>
      </c>
      <c r="DY15" s="24">
        <f t="shared" si="39"/>
        <v>8653.1800000000076</v>
      </c>
      <c r="DZ15" s="24">
        <f t="shared" si="39"/>
        <v>5183.1933333333291</v>
      </c>
      <c r="EA15" s="24">
        <f t="shared" si="39"/>
        <v>5055.1666666666642</v>
      </c>
      <c r="EB15" s="24">
        <f t="shared" si="39"/>
        <v>4984.6700000000019</v>
      </c>
      <c r="EC15" s="24">
        <f t="shared" si="39"/>
        <v>2793.8233333333301</v>
      </c>
      <c r="ED15" s="24">
        <f t="shared" si="39"/>
        <v>1382.786666666665</v>
      </c>
    </row>
    <row r="16" spans="1:139" x14ac:dyDescent="0.25"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89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7"/>
      <c r="BF16" s="17"/>
      <c r="BG16" s="17"/>
      <c r="BH16" s="17"/>
      <c r="BI16" s="15"/>
      <c r="BJ16" s="17"/>
      <c r="BK16" s="17"/>
      <c r="BL16" s="17"/>
      <c r="BM16" s="17"/>
      <c r="BN16" s="17"/>
      <c r="BO16" s="14"/>
      <c r="BP16" s="16"/>
      <c r="BQ16" s="1"/>
      <c r="BR16" s="1"/>
      <c r="BT16" s="37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</row>
    <row r="17" spans="1:134" ht="15.75" thickBot="1" x14ac:dyDescent="0.3">
      <c r="A17" s="1" t="s">
        <v>45</v>
      </c>
      <c r="D17" s="1" t="s">
        <v>46</v>
      </c>
      <c r="E17" s="27">
        <f t="shared" ref="E17" si="40">+E15+E7+E11</f>
        <v>-90482.359166666662</v>
      </c>
      <c r="F17" s="27">
        <f t="shared" ref="F17:G17" si="41">+F15+F7+F11</f>
        <v>-85164.005000000005</v>
      </c>
      <c r="G17" s="27">
        <f t="shared" si="41"/>
        <v>-82776.897499999992</v>
      </c>
      <c r="H17" s="27">
        <f t="shared" ref="H17:I17" si="42">+H15+H7+H11</f>
        <v>-74531.786666666667</v>
      </c>
      <c r="I17" s="27">
        <f t="shared" si="42"/>
        <v>-66804.749166666676</v>
      </c>
      <c r="J17" s="27">
        <f t="shared" ref="J17:K17" si="43">+J15+J7+J11</f>
        <v>-57445.061666666676</v>
      </c>
      <c r="K17" s="27">
        <f t="shared" si="43"/>
        <v>-50501.574166666673</v>
      </c>
      <c r="L17" s="27">
        <f t="shared" ref="L17:M17" si="44">+L15+L7+L11</f>
        <v>-45849.576666666675</v>
      </c>
      <c r="M17" s="27">
        <f t="shared" si="44"/>
        <v>-41302.7425</v>
      </c>
      <c r="N17" s="27">
        <f t="shared" ref="N17:O17" si="45">+N15+N7+N11</f>
        <v>-33581.205000000002</v>
      </c>
      <c r="O17" s="27">
        <f t="shared" si="45"/>
        <v>-25766.487500000003</v>
      </c>
      <c r="P17" s="27">
        <f t="shared" ref="P17:CA17" si="46">+P15+P7+P11</f>
        <v>-29468.443333333307</v>
      </c>
      <c r="Q17" s="94">
        <f t="shared" si="46"/>
        <v>-22257.92666666667</v>
      </c>
      <c r="R17" s="84">
        <f t="shared" si="46"/>
        <v>-21274.033333333333</v>
      </c>
      <c r="S17" s="84">
        <f t="shared" si="46"/>
        <v>-23105.020000000019</v>
      </c>
      <c r="T17" s="84">
        <f t="shared" si="46"/>
        <v>-22795.239999999972</v>
      </c>
      <c r="U17" s="84">
        <f t="shared" si="46"/>
        <v>-25839.039999999994</v>
      </c>
      <c r="V17" s="84">
        <f t="shared" si="46"/>
        <v>-23261.82666666666</v>
      </c>
      <c r="W17" s="84">
        <f t="shared" si="46"/>
        <v>-19808.250000000004</v>
      </c>
      <c r="X17" s="84">
        <f t="shared" si="46"/>
        <v>-13801.306666666665</v>
      </c>
      <c r="Y17" s="84">
        <f t="shared" si="46"/>
        <v>-16602.156666666662</v>
      </c>
      <c r="Z17" s="84">
        <f t="shared" si="46"/>
        <v>-15772.136666666665</v>
      </c>
      <c r="AA17" s="84">
        <f t="shared" si="46"/>
        <v>-16010.033333333327</v>
      </c>
      <c r="AB17" s="84">
        <f t="shared" si="46"/>
        <v>-17548.53</v>
      </c>
      <c r="AC17" s="84">
        <f t="shared" si="46"/>
        <v>-16810.006666666657</v>
      </c>
      <c r="AD17" s="84">
        <f t="shared" si="46"/>
        <v>-15838.026666666658</v>
      </c>
      <c r="AE17" s="84">
        <f t="shared" si="46"/>
        <v>-18552.286666666667</v>
      </c>
      <c r="AF17" s="84">
        <f t="shared" si="46"/>
        <v>-23766.733333333326</v>
      </c>
      <c r="AG17" s="27">
        <f t="shared" si="46"/>
        <v>-23073.786666666652</v>
      </c>
      <c r="AH17" s="84">
        <f t="shared" si="46"/>
        <v>-20096.93</v>
      </c>
      <c r="AI17" s="84">
        <f t="shared" si="46"/>
        <v>-17542.303333333319</v>
      </c>
      <c r="AJ17" s="84">
        <f t="shared" si="46"/>
        <v>-16549.893333333333</v>
      </c>
      <c r="AK17" s="27">
        <f t="shared" si="46"/>
        <v>-17448.793333333335</v>
      </c>
      <c r="AL17" s="27">
        <f t="shared" si="46"/>
        <v>-17460.87666666666</v>
      </c>
      <c r="AM17" s="27">
        <f t="shared" si="46"/>
        <v>-17755.123333333333</v>
      </c>
      <c r="AN17" s="27">
        <f t="shared" si="46"/>
        <v>-4436.2200000000012</v>
      </c>
      <c r="AO17" s="27">
        <f t="shared" si="46"/>
        <v>-676.78666666665595</v>
      </c>
      <c r="AP17" s="27">
        <f t="shared" si="46"/>
        <v>-598.77333333332354</v>
      </c>
      <c r="AQ17" s="27">
        <f t="shared" si="46"/>
        <v>-2732.070000000007</v>
      </c>
      <c r="AR17" s="27">
        <f t="shared" si="46"/>
        <v>-6296.0366666666559</v>
      </c>
      <c r="AS17" s="27">
        <f t="shared" si="46"/>
        <v>-7397.2933333333294</v>
      </c>
      <c r="AT17" s="27">
        <f t="shared" si="46"/>
        <v>-7486.5200000000041</v>
      </c>
      <c r="AU17" s="27">
        <f t="shared" si="46"/>
        <v>-3547.7466666666551</v>
      </c>
      <c r="AV17" s="27">
        <f t="shared" si="46"/>
        <v>-4943.4833333333318</v>
      </c>
      <c r="AW17" s="27">
        <f t="shared" si="46"/>
        <v>-6198.1000000000058</v>
      </c>
      <c r="AX17" s="74">
        <f t="shared" si="46"/>
        <v>-4212.1466666666647</v>
      </c>
      <c r="AY17" s="27">
        <f t="shared" si="46"/>
        <v>-6279.8633333333328</v>
      </c>
      <c r="AZ17" s="27">
        <f t="shared" si="46"/>
        <v>13323.100000000006</v>
      </c>
      <c r="BA17" s="27">
        <f t="shared" si="46"/>
        <v>16946.233333333348</v>
      </c>
      <c r="BB17" s="27">
        <f t="shared" si="46"/>
        <v>14353.186666666683</v>
      </c>
      <c r="BC17" s="27">
        <f t="shared" si="46"/>
        <v>5994.4000000000087</v>
      </c>
      <c r="BD17" s="27">
        <f t="shared" si="46"/>
        <v>2440.2033333333347</v>
      </c>
      <c r="BE17" s="27">
        <f t="shared" si="46"/>
        <v>1053.0766666666805</v>
      </c>
      <c r="BF17" s="27">
        <f t="shared" si="46"/>
        <v>-1196.0699999999924</v>
      </c>
      <c r="BG17" s="27">
        <f t="shared" si="46"/>
        <v>-1004.6266666666525</v>
      </c>
      <c r="BH17" s="27">
        <f t="shared" si="46"/>
        <v>-4213.643333333328</v>
      </c>
      <c r="BI17" s="27">
        <f t="shared" si="46"/>
        <v>-7752.2800000000061</v>
      </c>
      <c r="BJ17" s="27">
        <f t="shared" si="46"/>
        <v>-8619.1966666666631</v>
      </c>
      <c r="BK17" s="27">
        <f t="shared" si="46"/>
        <v>-10903.053333333337</v>
      </c>
      <c r="BL17" s="27">
        <f t="shared" si="46"/>
        <v>16214.201428571429</v>
      </c>
      <c r="BM17" s="27">
        <f t="shared" si="46"/>
        <v>15068.000476190478</v>
      </c>
      <c r="BN17" s="27">
        <f t="shared" si="46"/>
        <v>13843.749523809525</v>
      </c>
      <c r="BO17" s="27">
        <f t="shared" si="46"/>
        <v>8660.2100000000064</v>
      </c>
      <c r="BP17" s="27">
        <f t="shared" si="46"/>
        <v>5978.1990476190585</v>
      </c>
      <c r="BQ17" s="27">
        <f t="shared" si="46"/>
        <v>897.27238095240136</v>
      </c>
      <c r="BR17" s="27">
        <f t="shared" si="46"/>
        <v>1204.1199999999953</v>
      </c>
      <c r="BS17" s="27">
        <f t="shared" si="46"/>
        <v>368.0033333333522</v>
      </c>
      <c r="BT17" s="56">
        <f t="shared" si="46"/>
        <v>-1393.3933333333352</v>
      </c>
      <c r="BU17" s="27">
        <f t="shared" si="46"/>
        <v>-2305.9400000000023</v>
      </c>
      <c r="BV17" s="27">
        <f t="shared" si="46"/>
        <v>-1956.9766666666628</v>
      </c>
      <c r="BW17" s="27">
        <f t="shared" si="46"/>
        <v>-986.34333333332734</v>
      </c>
      <c r="BX17" s="27">
        <f t="shared" si="46"/>
        <v>-1152.8199999999888</v>
      </c>
      <c r="BY17" s="27">
        <f t="shared" si="46"/>
        <v>1302.8175757575591</v>
      </c>
      <c r="BZ17" s="27">
        <f t="shared" si="46"/>
        <v>1014.4033333333427</v>
      </c>
      <c r="CA17" s="27">
        <f t="shared" si="46"/>
        <v>-242.6933333333327</v>
      </c>
      <c r="CB17" s="27">
        <f t="shared" ref="CB17:DR17" si="47">+CB15+CB7+CB11</f>
        <v>-588.38333333333503</v>
      </c>
      <c r="CC17" s="27">
        <f t="shared" si="47"/>
        <v>-2494.6452380952451</v>
      </c>
      <c r="CD17" s="27">
        <f t="shared" si="47"/>
        <v>629.36000000000422</v>
      </c>
      <c r="CE17" s="27">
        <f t="shared" si="47"/>
        <v>-431.77333333333081</v>
      </c>
      <c r="CF17" s="27">
        <f t="shared" si="47"/>
        <v>-415.62666666667246</v>
      </c>
      <c r="CG17" s="27">
        <f t="shared" si="47"/>
        <v>-1020.8399999999965</v>
      </c>
      <c r="CH17" s="27">
        <f t="shared" si="47"/>
        <v>-3258.7233333333324</v>
      </c>
      <c r="CI17" s="27">
        <f t="shared" si="47"/>
        <v>-4532.8166666666657</v>
      </c>
      <c r="CJ17" s="27">
        <f t="shared" si="47"/>
        <v>11684.929999999989</v>
      </c>
      <c r="CK17" s="27">
        <f t="shared" si="47"/>
        <v>11599.576363636354</v>
      </c>
      <c r="CL17" s="27">
        <f t="shared" si="47"/>
        <v>10191.159999999989</v>
      </c>
      <c r="CM17" s="27">
        <f t="shared" si="47"/>
        <v>8292.9833333333318</v>
      </c>
      <c r="CN17" s="27">
        <f t="shared" si="47"/>
        <v>6203.359999999986</v>
      </c>
      <c r="CO17" s="27">
        <f t="shared" si="47"/>
        <v>4735.1799999999912</v>
      </c>
      <c r="CP17" s="27">
        <f t="shared" si="47"/>
        <v>5633.7499999999891</v>
      </c>
      <c r="CQ17" s="27">
        <f t="shared" si="47"/>
        <v>3507.9899999999975</v>
      </c>
      <c r="CR17" s="27">
        <f t="shared" si="47"/>
        <v>750.90000000000146</v>
      </c>
      <c r="CS17" s="27">
        <f t="shared" si="47"/>
        <v>1411.2400000000021</v>
      </c>
      <c r="CT17" s="27">
        <f t="shared" si="47"/>
        <v>-723.47000000000116</v>
      </c>
      <c r="CU17" s="27">
        <f t="shared" si="47"/>
        <v>-2156.2199999999975</v>
      </c>
      <c r="CV17" s="27">
        <f t="shared" si="47"/>
        <v>9155.6400000000103</v>
      </c>
      <c r="CW17" s="27">
        <f t="shared" si="47"/>
        <v>10807.483939393935</v>
      </c>
      <c r="CX17" s="27">
        <f t="shared" si="47"/>
        <v>9791.9933333333211</v>
      </c>
      <c r="CY17" s="27">
        <f t="shared" si="47"/>
        <v>9580.8800000000047</v>
      </c>
      <c r="CZ17" s="27">
        <f t="shared" si="47"/>
        <v>7095.1266666666634</v>
      </c>
      <c r="DA17" s="27">
        <f t="shared" si="47"/>
        <v>5815.6233333333275</v>
      </c>
      <c r="DB17" s="27">
        <f t="shared" si="47"/>
        <v>6407.7599999999984</v>
      </c>
      <c r="DC17" s="27">
        <f t="shared" si="47"/>
        <v>4384.9066666666658</v>
      </c>
      <c r="DD17" s="27">
        <f t="shared" si="47"/>
        <v>3660.0233333333254</v>
      </c>
      <c r="DE17" s="27">
        <f t="shared" si="47"/>
        <v>2602.6199999999953</v>
      </c>
      <c r="DF17" s="27">
        <f t="shared" si="47"/>
        <v>-1339.2033333333302</v>
      </c>
      <c r="DG17" s="27">
        <f t="shared" si="47"/>
        <v>-3836.1066666666679</v>
      </c>
      <c r="DH17" s="27">
        <f t="shared" si="47"/>
        <v>17322.449696969721</v>
      </c>
      <c r="DI17" s="27">
        <f t="shared" si="47"/>
        <v>12404.956666666694</v>
      </c>
      <c r="DJ17" s="27">
        <f t="shared" si="47"/>
        <v>2144.44333333332</v>
      </c>
      <c r="DK17" s="27">
        <f t="shared" si="47"/>
        <v>125.85333333332892</v>
      </c>
      <c r="DL17" s="27">
        <f t="shared" si="47"/>
        <v>5340.4066666666804</v>
      </c>
      <c r="DM17" s="27">
        <f t="shared" si="47"/>
        <v>6002.229999999985</v>
      </c>
      <c r="DN17" s="27">
        <f t="shared" si="47"/>
        <v>3429.9533333333275</v>
      </c>
      <c r="DO17" s="27">
        <f t="shared" si="47"/>
        <v>2939.1866666666738</v>
      </c>
      <c r="DP17" s="27">
        <f t="shared" si="47"/>
        <v>2303.2100000000132</v>
      </c>
      <c r="DQ17" s="27">
        <f t="shared" si="47"/>
        <v>4287.1933333333427</v>
      </c>
      <c r="DR17" s="27">
        <f t="shared" si="47"/>
        <v>1576.6766666666713</v>
      </c>
      <c r="DS17" s="27">
        <f t="shared" ref="DS17:ED17" si="48">+DS15+DS7</f>
        <v>16823.390909090929</v>
      </c>
      <c r="DT17" s="27">
        <f t="shared" si="48"/>
        <v>16149.454242424239</v>
      </c>
      <c r="DU17" s="27">
        <f t="shared" si="48"/>
        <v>12160.246666666651</v>
      </c>
      <c r="DV17" s="27">
        <f t="shared" si="48"/>
        <v>9842.5033333333322</v>
      </c>
      <c r="DW17" s="27">
        <f t="shared" si="48"/>
        <v>7159.743333333332</v>
      </c>
      <c r="DX17" s="27">
        <f t="shared" si="48"/>
        <v>4728.9766666666574</v>
      </c>
      <c r="DY17" s="27">
        <f t="shared" si="48"/>
        <v>3641.1800000000112</v>
      </c>
      <c r="DZ17" s="27">
        <f t="shared" si="48"/>
        <v>176.79333333332761</v>
      </c>
      <c r="EA17" s="27">
        <f t="shared" si="48"/>
        <v>141.16666666666424</v>
      </c>
      <c r="EB17" s="27">
        <f t="shared" si="48"/>
        <v>-559.32999999999811</v>
      </c>
      <c r="EC17" s="27">
        <f t="shared" si="48"/>
        <v>-1658.1766666666699</v>
      </c>
      <c r="ED17" s="27">
        <f t="shared" si="48"/>
        <v>-2145.213333333335</v>
      </c>
    </row>
    <row r="18" spans="1:134" ht="15.75" thickTop="1" x14ac:dyDescent="0.25"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89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7"/>
      <c r="BF18" s="17"/>
      <c r="BG18" s="17"/>
      <c r="BH18" s="17"/>
      <c r="BI18" s="15"/>
      <c r="BJ18" s="17"/>
      <c r="BK18" s="17"/>
      <c r="BL18" s="17"/>
      <c r="BM18" s="17"/>
      <c r="BN18" s="17"/>
      <c r="BO18" s="14"/>
      <c r="BP18" s="16"/>
      <c r="BQ18" s="1"/>
      <c r="BR18" s="1"/>
      <c r="BT18" s="37"/>
    </row>
    <row r="19" spans="1:134" x14ac:dyDescent="0.25">
      <c r="A19" s="75" t="s">
        <v>47</v>
      </c>
      <c r="D19" s="1" t="s">
        <v>48</v>
      </c>
      <c r="E19" s="26">
        <v>174530.03</v>
      </c>
      <c r="F19" s="26">
        <v>181018.63</v>
      </c>
      <c r="G19" s="26">
        <v>186250.34</v>
      </c>
      <c r="H19" s="26">
        <v>191509.31</v>
      </c>
      <c r="I19" s="26">
        <v>196077.57</v>
      </c>
      <c r="J19" s="26">
        <v>202896.69</v>
      </c>
      <c r="K19" s="26">
        <v>209087.21</v>
      </c>
      <c r="L19" s="26">
        <v>216854.96</v>
      </c>
      <c r="M19" s="26">
        <v>206840.68</v>
      </c>
      <c r="N19" s="26">
        <v>204640.3</v>
      </c>
      <c r="O19" s="26">
        <v>206498.38</v>
      </c>
      <c r="P19" s="26">
        <v>206602.87</v>
      </c>
      <c r="Q19" s="93">
        <v>205718.89</v>
      </c>
      <c r="R19" s="50">
        <v>208325.66</v>
      </c>
      <c r="S19" s="50">
        <v>212593.24</v>
      </c>
      <c r="T19" s="50">
        <v>224564.19</v>
      </c>
      <c r="U19" s="50">
        <v>221693.38</v>
      </c>
      <c r="V19" s="50">
        <v>228485.13</v>
      </c>
      <c r="W19" s="50">
        <v>247712.69</v>
      </c>
      <c r="X19" s="50">
        <v>231128.26</v>
      </c>
      <c r="Y19" s="50">
        <v>226942.72</v>
      </c>
      <c r="Z19" s="50">
        <v>231145.60000000001</v>
      </c>
      <c r="AA19" s="50">
        <v>231734.62</v>
      </c>
      <c r="AB19" s="50">
        <v>230870.1</v>
      </c>
      <c r="AC19" s="50">
        <v>222921.39</v>
      </c>
      <c r="AD19" s="50">
        <v>225076.97</v>
      </c>
      <c r="AE19" s="50">
        <v>228167.57</v>
      </c>
      <c r="AF19" s="50">
        <v>227035.81</v>
      </c>
      <c r="AG19" s="50">
        <v>229268.95</v>
      </c>
      <c r="AH19" s="50">
        <v>234617.17</v>
      </c>
      <c r="AI19" s="50">
        <v>240790.82</v>
      </c>
      <c r="AJ19" s="50">
        <v>249066.92</v>
      </c>
      <c r="AK19" s="50">
        <v>243120.21</v>
      </c>
      <c r="AL19" s="50">
        <v>241131.46</v>
      </c>
      <c r="AM19" s="50">
        <v>242033.65</v>
      </c>
      <c r="AN19" s="50">
        <v>244725.1</v>
      </c>
      <c r="AO19" s="50">
        <v>226625.55</v>
      </c>
      <c r="AP19" s="50">
        <v>226608.28</v>
      </c>
      <c r="AQ19" s="50">
        <v>229510.33</v>
      </c>
      <c r="AR19" s="50">
        <v>232511.29</v>
      </c>
      <c r="AS19" s="50">
        <v>234286.13</v>
      </c>
      <c r="AT19" s="50">
        <v>236172.23</v>
      </c>
      <c r="AU19" s="50">
        <v>242756.93</v>
      </c>
      <c r="AV19" s="50">
        <v>247702.06</v>
      </c>
      <c r="AW19" s="50">
        <v>235877.87</v>
      </c>
      <c r="AX19" s="50">
        <v>234462.44</v>
      </c>
      <c r="AY19" s="50">
        <v>232551.07</v>
      </c>
      <c r="AZ19" s="50">
        <v>227223.46</v>
      </c>
      <c r="BA19" s="50">
        <v>222291.28</v>
      </c>
      <c r="BB19" s="50">
        <v>222964.41</v>
      </c>
      <c r="BC19" s="50">
        <v>220065.09</v>
      </c>
      <c r="BD19" s="50">
        <v>219445.58</v>
      </c>
      <c r="BE19" s="50">
        <v>221905.46</v>
      </c>
      <c r="BF19" s="50">
        <v>221376.32</v>
      </c>
      <c r="BG19" s="50">
        <v>226540.87</v>
      </c>
      <c r="BH19" s="50">
        <v>228537.46</v>
      </c>
      <c r="BI19" s="50">
        <v>218238.76</v>
      </c>
      <c r="BJ19" s="50">
        <v>217631.22</v>
      </c>
      <c r="BK19" s="50">
        <v>215799.79</v>
      </c>
      <c r="BL19" s="50">
        <v>213717.5</v>
      </c>
      <c r="BM19" s="50">
        <v>200455.16</v>
      </c>
      <c r="BN19" s="50">
        <v>199174.08</v>
      </c>
      <c r="BO19" s="18">
        <v>198871.91</v>
      </c>
      <c r="BP19" s="18">
        <v>201633.03</v>
      </c>
      <c r="BQ19" s="26">
        <v>198427.36</v>
      </c>
      <c r="BR19" s="9">
        <v>201764.75</v>
      </c>
      <c r="BS19" s="9">
        <v>204090.18</v>
      </c>
      <c r="BT19" s="11">
        <v>204811.16</v>
      </c>
      <c r="BU19" s="9">
        <v>207426.69</v>
      </c>
      <c r="BV19" s="9">
        <v>208671.66</v>
      </c>
      <c r="BW19" s="9">
        <v>205831.41</v>
      </c>
      <c r="BX19" s="9">
        <v>196400.27</v>
      </c>
      <c r="BY19" s="9">
        <v>183372.72</v>
      </c>
      <c r="BZ19" s="9">
        <v>187318.57</v>
      </c>
      <c r="CA19" s="9">
        <v>192689.72</v>
      </c>
      <c r="CB19" s="9">
        <v>196488.25</v>
      </c>
      <c r="CC19" s="9">
        <v>199939.96</v>
      </c>
      <c r="CD19" s="9">
        <v>206509.62</v>
      </c>
      <c r="CE19" s="9">
        <v>208026.37</v>
      </c>
      <c r="CF19" s="9">
        <v>226589.55</v>
      </c>
      <c r="CG19" s="9">
        <v>236966</v>
      </c>
      <c r="CH19" s="9">
        <v>216536.92</v>
      </c>
      <c r="CI19" s="9">
        <v>208852.88</v>
      </c>
      <c r="CJ19" s="9">
        <v>208084.34</v>
      </c>
      <c r="CK19" s="9">
        <v>190910.57</v>
      </c>
      <c r="CL19" s="9">
        <v>195109.54</v>
      </c>
      <c r="CM19" s="9">
        <v>196661.4</v>
      </c>
      <c r="CN19" s="9">
        <v>198062.31</v>
      </c>
      <c r="CO19" s="9">
        <v>201360.67</v>
      </c>
      <c r="CP19" s="9">
        <v>205295.41</v>
      </c>
      <c r="CQ19" s="9">
        <v>222436.86</v>
      </c>
      <c r="CR19" s="9">
        <v>223214.74</v>
      </c>
      <c r="CS19" s="9">
        <v>225441.26</v>
      </c>
      <c r="CT19" s="9">
        <v>200070.68</v>
      </c>
      <c r="CU19" s="9">
        <v>190292.37</v>
      </c>
      <c r="CV19" s="25">
        <v>183451.03</v>
      </c>
      <c r="CW19" s="25">
        <v>165527.87</v>
      </c>
      <c r="CX19" s="25">
        <v>169705.41</v>
      </c>
      <c r="CY19" s="25">
        <v>171598.07</v>
      </c>
      <c r="CZ19" s="25">
        <v>171675.05</v>
      </c>
      <c r="DA19" s="10">
        <v>174179.87</v>
      </c>
      <c r="DB19" s="10">
        <v>196037.68</v>
      </c>
      <c r="DC19" s="10">
        <v>201222.8</v>
      </c>
      <c r="DD19" s="10">
        <v>199351.59</v>
      </c>
      <c r="DE19" s="10">
        <v>182578.38</v>
      </c>
      <c r="DF19" s="10">
        <v>172974.49</v>
      </c>
      <c r="DG19" s="10">
        <v>168857.21</v>
      </c>
      <c r="DH19" s="10">
        <v>138236.38</v>
      </c>
      <c r="DI19" s="10">
        <v>139914.1</v>
      </c>
      <c r="DJ19" s="10">
        <v>136897.97</v>
      </c>
      <c r="DK19" s="10">
        <v>133154.15</v>
      </c>
      <c r="DL19" s="10">
        <v>141056.29</v>
      </c>
      <c r="DM19" s="10">
        <v>146472.87</v>
      </c>
      <c r="DN19" s="10">
        <v>171294.25</v>
      </c>
      <c r="DO19" s="10">
        <v>171543.28</v>
      </c>
      <c r="DP19" s="10">
        <v>155924.75</v>
      </c>
      <c r="DQ19" s="10">
        <v>154498.1</v>
      </c>
      <c r="DR19" s="10">
        <v>152371.14000000001</v>
      </c>
      <c r="DS19" s="10">
        <v>120388.32</v>
      </c>
      <c r="DT19" s="10">
        <v>99920.19</v>
      </c>
      <c r="DU19" s="10">
        <v>101238.88</v>
      </c>
      <c r="DV19" s="10">
        <v>105639.09</v>
      </c>
      <c r="DW19" s="10">
        <v>108992.54</v>
      </c>
      <c r="DX19" s="10">
        <v>112437.44</v>
      </c>
      <c r="DY19" s="10">
        <v>113633.69</v>
      </c>
      <c r="DZ19" s="10">
        <v>115805.19</v>
      </c>
      <c r="EA19" s="10">
        <v>157672.74</v>
      </c>
      <c r="EB19" s="10">
        <v>164947.21</v>
      </c>
      <c r="EC19" s="10">
        <v>154575.5</v>
      </c>
      <c r="ED19" s="10">
        <v>151253.48000000001</v>
      </c>
    </row>
    <row r="20" spans="1:134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26">
        <v>-49286.32</v>
      </c>
      <c r="K20" s="26">
        <v>-49286.32</v>
      </c>
      <c r="L20" s="26">
        <v>-49286.32</v>
      </c>
      <c r="M20" s="26">
        <v>-49286.32</v>
      </c>
      <c r="N20" s="26">
        <v>-49286.32</v>
      </c>
      <c r="O20" s="26">
        <v>-49286.32</v>
      </c>
      <c r="P20" s="26">
        <v>-49286.32</v>
      </c>
      <c r="Q20" s="93">
        <v>-49286.32</v>
      </c>
      <c r="R20" s="50">
        <v>-49286.32</v>
      </c>
      <c r="S20" s="50">
        <v>-49286.32</v>
      </c>
      <c r="T20" s="50">
        <v>-49286.32</v>
      </c>
      <c r="U20" s="50">
        <v>-49286.32</v>
      </c>
      <c r="V20" s="50">
        <v>-49286.32</v>
      </c>
      <c r="W20" s="50">
        <v>-49286.32</v>
      </c>
      <c r="X20" s="50">
        <v>-49286.32</v>
      </c>
      <c r="Y20" s="50">
        <v>-49286.32</v>
      </c>
      <c r="Z20" s="50">
        <v>-49286.32</v>
      </c>
      <c r="AA20" s="50">
        <v>-49286.32</v>
      </c>
      <c r="AB20" s="50">
        <v>-49286.32</v>
      </c>
      <c r="AC20" s="50">
        <v>-49286.32</v>
      </c>
      <c r="AD20" s="50">
        <v>-49286.32</v>
      </c>
      <c r="AE20" s="50">
        <v>-49286.32</v>
      </c>
      <c r="AF20" s="50">
        <v>-49286.32</v>
      </c>
      <c r="AG20" s="50">
        <v>-49286.32</v>
      </c>
      <c r="AH20" s="50">
        <v>-49286.32</v>
      </c>
      <c r="AI20" s="50">
        <v>-49286.32</v>
      </c>
      <c r="AJ20" s="50">
        <v>-49286.32</v>
      </c>
      <c r="AK20" s="50">
        <v>-49286.32</v>
      </c>
      <c r="AL20" s="50">
        <v>-49286.32</v>
      </c>
      <c r="AM20" s="50">
        <v>-49286.32</v>
      </c>
      <c r="AN20" s="50">
        <v>-49286.32</v>
      </c>
      <c r="AO20" s="50">
        <v>-49286.32</v>
      </c>
      <c r="AP20" s="50">
        <v>-49286.32</v>
      </c>
      <c r="AQ20" s="50">
        <v>-49286.32</v>
      </c>
      <c r="AR20" s="50">
        <v>-49286.32</v>
      </c>
      <c r="AS20" s="50">
        <v>-49286.32</v>
      </c>
      <c r="AT20" s="50">
        <v>-49286.32</v>
      </c>
      <c r="AU20" s="50">
        <v>-49286.32</v>
      </c>
      <c r="AV20" s="50">
        <v>-49286.32</v>
      </c>
      <c r="AW20" s="50">
        <v>-49286.32</v>
      </c>
      <c r="AX20" s="50">
        <v>-49286.32</v>
      </c>
      <c r="AY20" s="50">
        <v>-49286.32</v>
      </c>
      <c r="AZ20" s="50">
        <v>-49286.32</v>
      </c>
      <c r="BA20" s="50">
        <v>-49286.32</v>
      </c>
      <c r="BB20" s="50">
        <v>-49286.32</v>
      </c>
      <c r="BC20" s="50">
        <v>-49286.32</v>
      </c>
      <c r="BD20" s="50">
        <v>-49286.32</v>
      </c>
      <c r="BE20" s="50">
        <v>-49286.32</v>
      </c>
      <c r="BF20" s="50">
        <v>-49286.32</v>
      </c>
      <c r="BG20" s="50">
        <v>-49286.32</v>
      </c>
      <c r="BH20" s="50">
        <v>-49286.32</v>
      </c>
      <c r="BI20" s="50">
        <v>-49286.32</v>
      </c>
      <c r="BJ20" s="50">
        <v>-49286.32</v>
      </c>
      <c r="BK20" s="50">
        <v>-49286.32</v>
      </c>
      <c r="BL20" s="50">
        <v>-49286.32</v>
      </c>
      <c r="BM20" s="50">
        <v>-49286.32</v>
      </c>
      <c r="BN20" s="50">
        <v>-49286.32</v>
      </c>
      <c r="BO20" s="18">
        <v>-49286.32</v>
      </c>
      <c r="BP20" s="18">
        <v>-49286.32</v>
      </c>
      <c r="BQ20" s="26">
        <v>-49286.32</v>
      </c>
      <c r="BR20" s="9">
        <v>-49286.32</v>
      </c>
      <c r="BS20" s="9">
        <v>-52772.84</v>
      </c>
      <c r="BT20" s="11">
        <v>-52772.84</v>
      </c>
      <c r="BU20" s="9">
        <v>-52772.84</v>
      </c>
      <c r="BV20" s="9">
        <v>-52772.84</v>
      </c>
      <c r="BW20" s="9">
        <v>-52772.84</v>
      </c>
      <c r="BX20" s="9">
        <v>-49435.3</v>
      </c>
      <c r="BY20" s="9">
        <v>-49435.3</v>
      </c>
      <c r="BZ20" s="9">
        <v>-49435.3</v>
      </c>
      <c r="CA20" s="9">
        <v>-49435.3</v>
      </c>
      <c r="CB20" s="9">
        <v>-49435.3</v>
      </c>
      <c r="CC20" s="9">
        <v>-49435.3</v>
      </c>
      <c r="CD20" s="9">
        <v>-49435.3</v>
      </c>
      <c r="CE20" s="9">
        <v>-49435.3</v>
      </c>
      <c r="CF20" s="9">
        <v>-49435.3</v>
      </c>
      <c r="CG20" s="9">
        <v>-49435.3</v>
      </c>
      <c r="CH20" s="9">
        <v>-49435.3</v>
      </c>
      <c r="CI20" s="9">
        <v>-49435.3</v>
      </c>
      <c r="CJ20" s="9">
        <v>-49532.62</v>
      </c>
      <c r="CK20" s="9">
        <v>-49532.62</v>
      </c>
      <c r="CL20" s="9">
        <v>-49532.62</v>
      </c>
      <c r="CM20" s="9">
        <v>-49532.62</v>
      </c>
      <c r="CN20" s="9">
        <v>-49532.62</v>
      </c>
      <c r="CO20" s="9">
        <v>-49532.62</v>
      </c>
      <c r="CP20" s="9">
        <v>-49532.62</v>
      </c>
      <c r="CQ20" s="9">
        <v>-49532.62</v>
      </c>
      <c r="CR20" s="9">
        <v>-49532.62</v>
      </c>
      <c r="CS20" s="9">
        <v>-49532.62</v>
      </c>
      <c r="CT20" s="9">
        <v>-49532.62</v>
      </c>
      <c r="CU20" s="9">
        <v>-49532.62</v>
      </c>
      <c r="CV20" s="26">
        <v>-50647.44</v>
      </c>
      <c r="CW20" s="26">
        <v>-48110.63</v>
      </c>
      <c r="CX20" s="26">
        <v>-47041.58</v>
      </c>
      <c r="CY20" s="26">
        <v>-47041.58</v>
      </c>
      <c r="CZ20" s="26">
        <v>-47041.58</v>
      </c>
      <c r="DA20" s="10">
        <v>-47041.58</v>
      </c>
      <c r="DB20" s="10">
        <v>-47041.58</v>
      </c>
      <c r="DC20" s="10">
        <v>-47041.58</v>
      </c>
      <c r="DD20" s="10">
        <v>-47041.58</v>
      </c>
      <c r="DE20" s="10">
        <v>-47041.58</v>
      </c>
      <c r="DF20" s="10">
        <v>-47041.58</v>
      </c>
      <c r="DG20" s="10">
        <v>-47041.58</v>
      </c>
      <c r="DH20" s="10">
        <v>-46210.35</v>
      </c>
      <c r="DI20" s="10">
        <v>-46210.35</v>
      </c>
      <c r="DJ20" s="10">
        <v>-46210.35</v>
      </c>
      <c r="DK20" s="10">
        <v>-46210.35</v>
      </c>
      <c r="DL20" s="10">
        <v>-46210.35</v>
      </c>
      <c r="DM20" s="10">
        <v>-46210.35</v>
      </c>
      <c r="DN20" s="10">
        <v>-46210.35</v>
      </c>
      <c r="DO20" s="10">
        <v>-46210.35</v>
      </c>
      <c r="DP20" s="10">
        <v>-46210.35</v>
      </c>
      <c r="DQ20" s="10">
        <v>-46210.35</v>
      </c>
      <c r="DR20" s="10">
        <v>-46210.35</v>
      </c>
      <c r="DS20" s="10">
        <v>-47919.53</v>
      </c>
      <c r="DT20" s="10">
        <v>-47919.53</v>
      </c>
      <c r="DU20" s="10">
        <v>-47919.53</v>
      </c>
      <c r="DV20" s="10">
        <v>-47919.53</v>
      </c>
      <c r="DW20" s="10">
        <v>-47919.53</v>
      </c>
      <c r="DX20" s="10">
        <v>-47919.53</v>
      </c>
      <c r="DY20" s="10">
        <v>-47919.53</v>
      </c>
      <c r="DZ20" s="10">
        <v>-47919.53</v>
      </c>
      <c r="EA20" s="10">
        <v>-47919.53</v>
      </c>
      <c r="EB20" s="10">
        <v>-47919.53</v>
      </c>
      <c r="EC20" s="10">
        <v>-47919.53</v>
      </c>
      <c r="ED20" s="10">
        <v>-47919.53</v>
      </c>
    </row>
    <row r="21" spans="1:134" ht="15.75" customHeight="1" x14ac:dyDescent="0.25">
      <c r="A21" s="1" t="s">
        <v>45</v>
      </c>
      <c r="E21" s="28">
        <f t="shared" ref="E21" si="49">SUM(E19:E20)</f>
        <v>125243.70999999999</v>
      </c>
      <c r="F21" s="28">
        <f t="shared" ref="F21:G21" si="50">SUM(F19:F20)</f>
        <v>131732.31</v>
      </c>
      <c r="G21" s="28">
        <f t="shared" si="50"/>
        <v>136964.01999999999</v>
      </c>
      <c r="H21" s="28">
        <f t="shared" ref="H21:I21" si="51">SUM(H19:H20)</f>
        <v>142222.99</v>
      </c>
      <c r="I21" s="28">
        <f t="shared" si="51"/>
        <v>146791.25</v>
      </c>
      <c r="J21" s="28">
        <f t="shared" ref="J21:K21" si="52">SUM(J19:J20)</f>
        <v>153610.37</v>
      </c>
      <c r="K21" s="28">
        <f t="shared" si="52"/>
        <v>159800.88999999998</v>
      </c>
      <c r="L21" s="28">
        <f t="shared" ref="L21:M21" si="53">SUM(L19:L20)</f>
        <v>167568.63999999998</v>
      </c>
      <c r="M21" s="28">
        <f t="shared" si="53"/>
        <v>157554.35999999999</v>
      </c>
      <c r="N21" s="28">
        <f t="shared" ref="N21:O21" si="54">SUM(N19:N20)</f>
        <v>155353.97999999998</v>
      </c>
      <c r="O21" s="28">
        <f t="shared" si="54"/>
        <v>157212.06</v>
      </c>
      <c r="P21" s="28">
        <f t="shared" ref="P21:Q21" si="55">SUM(P19:P20)</f>
        <v>157316.54999999999</v>
      </c>
      <c r="Q21" s="95">
        <f t="shared" si="55"/>
        <v>156432.57</v>
      </c>
      <c r="R21" s="82">
        <f t="shared" ref="R21:CC21" si="56">SUM(R19:R20)</f>
        <v>159039.34</v>
      </c>
      <c r="S21" s="82">
        <f t="shared" si="56"/>
        <v>163306.91999999998</v>
      </c>
      <c r="T21" s="82">
        <f t="shared" si="56"/>
        <v>175277.87</v>
      </c>
      <c r="U21" s="82">
        <f t="shared" si="56"/>
        <v>172407.06</v>
      </c>
      <c r="V21" s="82">
        <f t="shared" si="56"/>
        <v>179198.81</v>
      </c>
      <c r="W21" s="82">
        <f t="shared" si="56"/>
        <v>198426.37</v>
      </c>
      <c r="X21" s="82">
        <f t="shared" si="56"/>
        <v>181841.94</v>
      </c>
      <c r="Y21" s="82">
        <f t="shared" si="56"/>
        <v>177656.4</v>
      </c>
      <c r="Z21" s="82">
        <f t="shared" si="56"/>
        <v>181859.28</v>
      </c>
      <c r="AA21" s="82">
        <f t="shared" si="56"/>
        <v>182448.3</v>
      </c>
      <c r="AB21" s="82">
        <f t="shared" si="56"/>
        <v>181583.78</v>
      </c>
      <c r="AC21" s="82">
        <f t="shared" si="56"/>
        <v>173635.07</v>
      </c>
      <c r="AD21" s="82">
        <f t="shared" si="56"/>
        <v>175790.65</v>
      </c>
      <c r="AE21" s="82">
        <f t="shared" si="56"/>
        <v>178881.25</v>
      </c>
      <c r="AF21" s="82">
        <f t="shared" si="56"/>
        <v>177749.49</v>
      </c>
      <c r="AG21" s="28">
        <f t="shared" si="56"/>
        <v>179982.63</v>
      </c>
      <c r="AH21" s="82">
        <f t="shared" si="56"/>
        <v>185330.85</v>
      </c>
      <c r="AI21" s="82">
        <f t="shared" si="56"/>
        <v>191504.5</v>
      </c>
      <c r="AJ21" s="82">
        <f t="shared" si="56"/>
        <v>199780.6</v>
      </c>
      <c r="AK21" s="28">
        <f t="shared" si="56"/>
        <v>193833.88999999998</v>
      </c>
      <c r="AL21" s="28">
        <f t="shared" si="56"/>
        <v>191845.13999999998</v>
      </c>
      <c r="AM21" s="28">
        <f t="shared" si="56"/>
        <v>192747.33</v>
      </c>
      <c r="AN21" s="28">
        <f t="shared" si="56"/>
        <v>195438.78</v>
      </c>
      <c r="AO21" s="28">
        <f t="shared" si="56"/>
        <v>177339.22999999998</v>
      </c>
      <c r="AP21" s="28">
        <f t="shared" si="56"/>
        <v>177321.96</v>
      </c>
      <c r="AQ21" s="28">
        <f t="shared" si="56"/>
        <v>180224.00999999998</v>
      </c>
      <c r="AR21" s="28">
        <f t="shared" si="56"/>
        <v>183224.97</v>
      </c>
      <c r="AS21" s="28">
        <f t="shared" si="56"/>
        <v>184999.81</v>
      </c>
      <c r="AT21" s="28">
        <f t="shared" si="56"/>
        <v>186885.91</v>
      </c>
      <c r="AU21" s="28">
        <f t="shared" si="56"/>
        <v>193470.61</v>
      </c>
      <c r="AV21" s="28">
        <f t="shared" si="56"/>
        <v>198415.74</v>
      </c>
      <c r="AW21" s="28">
        <f t="shared" si="56"/>
        <v>186591.55</v>
      </c>
      <c r="AX21" s="28">
        <f t="shared" si="56"/>
        <v>185176.12</v>
      </c>
      <c r="AY21" s="28">
        <f t="shared" si="56"/>
        <v>183264.75</v>
      </c>
      <c r="AZ21" s="28">
        <f t="shared" si="56"/>
        <v>177937.13999999998</v>
      </c>
      <c r="BA21" s="28">
        <f t="shared" si="56"/>
        <v>173004.96</v>
      </c>
      <c r="BB21" s="28">
        <f t="shared" si="56"/>
        <v>173678.09</v>
      </c>
      <c r="BC21" s="28">
        <f t="shared" si="56"/>
        <v>170778.77</v>
      </c>
      <c r="BD21" s="28">
        <f t="shared" si="56"/>
        <v>170159.25999999998</v>
      </c>
      <c r="BE21" s="28">
        <f t="shared" si="56"/>
        <v>172619.13999999998</v>
      </c>
      <c r="BF21" s="28">
        <f t="shared" si="56"/>
        <v>172090</v>
      </c>
      <c r="BG21" s="28">
        <f t="shared" si="56"/>
        <v>177254.55</v>
      </c>
      <c r="BH21" s="28">
        <f t="shared" si="56"/>
        <v>179251.13999999998</v>
      </c>
      <c r="BI21" s="28">
        <f t="shared" si="56"/>
        <v>168952.44</v>
      </c>
      <c r="BJ21" s="28">
        <f t="shared" si="56"/>
        <v>168344.9</v>
      </c>
      <c r="BK21" s="28">
        <f t="shared" si="56"/>
        <v>166513.47</v>
      </c>
      <c r="BL21" s="28">
        <f t="shared" si="56"/>
        <v>164431.18</v>
      </c>
      <c r="BM21" s="28">
        <f t="shared" si="56"/>
        <v>151168.84</v>
      </c>
      <c r="BN21" s="28">
        <f t="shared" si="56"/>
        <v>149887.75999999998</v>
      </c>
      <c r="BO21" s="28">
        <f t="shared" si="56"/>
        <v>149585.59</v>
      </c>
      <c r="BP21" s="28">
        <f t="shared" si="56"/>
        <v>152346.71</v>
      </c>
      <c r="BQ21" s="57">
        <f t="shared" si="56"/>
        <v>149141.03999999998</v>
      </c>
      <c r="BR21" s="28">
        <f t="shared" si="56"/>
        <v>152478.43</v>
      </c>
      <c r="BS21" s="28">
        <f t="shared" si="56"/>
        <v>151317.34</v>
      </c>
      <c r="BT21" s="58">
        <f t="shared" si="56"/>
        <v>152038.32</v>
      </c>
      <c r="BU21" s="28">
        <f t="shared" si="56"/>
        <v>154653.85</v>
      </c>
      <c r="BV21" s="28">
        <f t="shared" si="56"/>
        <v>155898.82</v>
      </c>
      <c r="BW21" s="28">
        <f t="shared" si="56"/>
        <v>153058.57</v>
      </c>
      <c r="BX21" s="28">
        <f t="shared" si="56"/>
        <v>146964.96999999997</v>
      </c>
      <c r="BY21" s="28">
        <f t="shared" si="56"/>
        <v>133937.41999999998</v>
      </c>
      <c r="BZ21" s="28">
        <f t="shared" si="56"/>
        <v>137883.27000000002</v>
      </c>
      <c r="CA21" s="28">
        <f t="shared" si="56"/>
        <v>143254.41999999998</v>
      </c>
      <c r="CB21" s="28">
        <f t="shared" si="56"/>
        <v>147052.95000000001</v>
      </c>
      <c r="CC21" s="28">
        <f t="shared" si="56"/>
        <v>150504.65999999997</v>
      </c>
      <c r="CD21" s="28">
        <f t="shared" ref="CD21:ED21" si="57">SUM(CD19:CD20)</f>
        <v>157074.32</v>
      </c>
      <c r="CE21" s="28">
        <f t="shared" si="57"/>
        <v>158591.07</v>
      </c>
      <c r="CF21" s="28">
        <f t="shared" si="57"/>
        <v>177154.25</v>
      </c>
      <c r="CG21" s="28">
        <f t="shared" si="57"/>
        <v>187530.7</v>
      </c>
      <c r="CH21" s="28">
        <f t="shared" si="57"/>
        <v>167101.62</v>
      </c>
      <c r="CI21" s="28">
        <f t="shared" si="57"/>
        <v>159417.58000000002</v>
      </c>
      <c r="CJ21" s="28">
        <f t="shared" si="57"/>
        <v>158551.72</v>
      </c>
      <c r="CK21" s="28">
        <f t="shared" si="57"/>
        <v>141377.95000000001</v>
      </c>
      <c r="CL21" s="28">
        <f t="shared" si="57"/>
        <v>145576.92000000001</v>
      </c>
      <c r="CM21" s="28">
        <f t="shared" si="57"/>
        <v>147128.78</v>
      </c>
      <c r="CN21" s="28">
        <f t="shared" si="57"/>
        <v>148529.69</v>
      </c>
      <c r="CO21" s="28">
        <f t="shared" si="57"/>
        <v>151828.05000000002</v>
      </c>
      <c r="CP21" s="28">
        <f t="shared" si="57"/>
        <v>155762.79</v>
      </c>
      <c r="CQ21" s="28">
        <f t="shared" si="57"/>
        <v>172904.24</v>
      </c>
      <c r="CR21" s="28">
        <f t="shared" si="57"/>
        <v>173682.12</v>
      </c>
      <c r="CS21" s="28">
        <f t="shared" si="57"/>
        <v>175908.64</v>
      </c>
      <c r="CT21" s="28">
        <f t="shared" si="57"/>
        <v>150538.06</v>
      </c>
      <c r="CU21" s="28">
        <f t="shared" si="57"/>
        <v>140759.75</v>
      </c>
      <c r="CV21" s="28">
        <f t="shared" si="57"/>
        <v>132803.59</v>
      </c>
      <c r="CW21" s="28">
        <f t="shared" si="57"/>
        <v>117417.23999999999</v>
      </c>
      <c r="CX21" s="28">
        <f t="shared" si="57"/>
        <v>122663.83</v>
      </c>
      <c r="CY21" s="28">
        <f t="shared" si="57"/>
        <v>124556.49</v>
      </c>
      <c r="CZ21" s="28">
        <f t="shared" si="57"/>
        <v>124633.46999999999</v>
      </c>
      <c r="DA21" s="28">
        <f t="shared" si="57"/>
        <v>127138.29</v>
      </c>
      <c r="DB21" s="28">
        <f t="shared" si="57"/>
        <v>148996.09999999998</v>
      </c>
      <c r="DC21" s="28">
        <f t="shared" si="57"/>
        <v>154181.21999999997</v>
      </c>
      <c r="DD21" s="28">
        <f t="shared" si="57"/>
        <v>152310.01</v>
      </c>
      <c r="DE21" s="28">
        <f t="shared" si="57"/>
        <v>135536.79999999999</v>
      </c>
      <c r="DF21" s="28">
        <f t="shared" si="57"/>
        <v>125932.90999999999</v>
      </c>
      <c r="DG21" s="28">
        <f t="shared" si="57"/>
        <v>121815.62999999999</v>
      </c>
      <c r="DH21" s="28">
        <f t="shared" si="57"/>
        <v>92026.03</v>
      </c>
      <c r="DI21" s="28">
        <f t="shared" si="57"/>
        <v>93703.75</v>
      </c>
      <c r="DJ21" s="28">
        <f t="shared" si="57"/>
        <v>90687.62</v>
      </c>
      <c r="DK21" s="28">
        <f t="shared" si="57"/>
        <v>86943.799999999988</v>
      </c>
      <c r="DL21" s="28">
        <f t="shared" si="57"/>
        <v>94845.94</v>
      </c>
      <c r="DM21" s="28">
        <f t="shared" si="57"/>
        <v>100262.51999999999</v>
      </c>
      <c r="DN21" s="28">
        <f t="shared" si="57"/>
        <v>125083.9</v>
      </c>
      <c r="DO21" s="28">
        <f t="shared" si="57"/>
        <v>125332.93</v>
      </c>
      <c r="DP21" s="28">
        <f t="shared" si="57"/>
        <v>109714.4</v>
      </c>
      <c r="DQ21" s="28">
        <f t="shared" si="57"/>
        <v>108287.75</v>
      </c>
      <c r="DR21" s="28">
        <f t="shared" si="57"/>
        <v>106160.79000000001</v>
      </c>
      <c r="DS21" s="28">
        <f t="shared" si="57"/>
        <v>72468.790000000008</v>
      </c>
      <c r="DT21" s="28">
        <f t="shared" si="57"/>
        <v>52000.66</v>
      </c>
      <c r="DU21" s="28">
        <f t="shared" si="57"/>
        <v>53319.350000000006</v>
      </c>
      <c r="DV21" s="28">
        <f t="shared" si="57"/>
        <v>57719.56</v>
      </c>
      <c r="DW21" s="28">
        <f t="shared" si="57"/>
        <v>61073.009999999995</v>
      </c>
      <c r="DX21" s="28">
        <f t="shared" si="57"/>
        <v>64517.91</v>
      </c>
      <c r="DY21" s="28">
        <f t="shared" si="57"/>
        <v>65714.16</v>
      </c>
      <c r="DZ21" s="28">
        <f t="shared" si="57"/>
        <v>67885.66</v>
      </c>
      <c r="EA21" s="28">
        <f t="shared" si="57"/>
        <v>109753.20999999999</v>
      </c>
      <c r="EB21" s="28">
        <f t="shared" si="57"/>
        <v>117027.68</v>
      </c>
      <c r="EC21" s="28">
        <f t="shared" si="57"/>
        <v>106655.97</v>
      </c>
      <c r="ED21" s="28">
        <f t="shared" si="57"/>
        <v>103333.95000000001</v>
      </c>
    </row>
    <row r="22" spans="1:134" ht="15.75" customHeight="1" x14ac:dyDescent="0.25"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89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7"/>
      <c r="BG22" s="17"/>
      <c r="BH22" s="17"/>
      <c r="BI22" s="15"/>
      <c r="BJ22" s="17"/>
      <c r="BK22" s="17"/>
      <c r="BL22" s="17"/>
      <c r="BM22" s="17"/>
      <c r="BN22" s="17"/>
      <c r="BO22" s="14"/>
      <c r="BP22" s="16"/>
      <c r="BQ22" s="1"/>
      <c r="BR22" s="1"/>
    </row>
    <row r="23" spans="1:134" ht="15.75" customHeight="1" x14ac:dyDescent="0.25">
      <c r="A23" s="75" t="s">
        <v>51</v>
      </c>
      <c r="D23" s="1" t="s">
        <v>52</v>
      </c>
      <c r="E23" s="25">
        <v>14427.67</v>
      </c>
      <c r="F23" s="25">
        <v>14527.67</v>
      </c>
      <c r="G23" s="25">
        <v>14527.67</v>
      </c>
      <c r="H23" s="25">
        <v>14527.67</v>
      </c>
      <c r="I23" s="25">
        <v>14527.67</v>
      </c>
      <c r="J23" s="25">
        <v>14527.67</v>
      </c>
      <c r="K23" s="25">
        <v>14527.67</v>
      </c>
      <c r="L23" s="25">
        <v>15514.07</v>
      </c>
      <c r="M23" s="25">
        <v>4197.7700000000004</v>
      </c>
      <c r="N23" s="25">
        <v>0</v>
      </c>
      <c r="O23" s="25">
        <v>0</v>
      </c>
      <c r="P23" s="25">
        <v>12659.6</v>
      </c>
      <c r="Q23" s="92">
        <v>12039</v>
      </c>
      <c r="R23" s="45">
        <v>7392.3</v>
      </c>
      <c r="S23" s="45">
        <v>7392.3</v>
      </c>
      <c r="T23" s="45">
        <v>16669.060000000001</v>
      </c>
      <c r="U23" s="45">
        <v>16669.060000000001</v>
      </c>
      <c r="V23" s="45">
        <v>17197.54</v>
      </c>
      <c r="W23" s="45">
        <v>29077.48</v>
      </c>
      <c r="X23" s="45">
        <v>8091.58</v>
      </c>
      <c r="Y23" s="45">
        <v>-2403.9299999999998</v>
      </c>
      <c r="Z23" s="45">
        <v>-818.93</v>
      </c>
      <c r="AA23" s="45">
        <v>-818.93</v>
      </c>
      <c r="AB23" s="45">
        <v>17389.330000000002</v>
      </c>
      <c r="AC23" s="45">
        <v>17367.07</v>
      </c>
      <c r="AD23" s="45">
        <v>14080.98</v>
      </c>
      <c r="AE23" s="45">
        <v>14080.98</v>
      </c>
      <c r="AF23" s="45">
        <v>14080.98</v>
      </c>
      <c r="AG23" s="45">
        <v>14080.98</v>
      </c>
      <c r="AH23" s="45">
        <v>14080.98</v>
      </c>
      <c r="AI23" s="45">
        <v>14080.98</v>
      </c>
      <c r="AJ23" s="45">
        <v>15430.98</v>
      </c>
      <c r="AK23" s="45">
        <v>6570.2</v>
      </c>
      <c r="AL23" s="45">
        <v>-55.23</v>
      </c>
      <c r="AM23" s="45">
        <v>-55.23</v>
      </c>
      <c r="AN23" s="45">
        <v>16753.84</v>
      </c>
      <c r="AO23" s="45">
        <v>16758.93</v>
      </c>
      <c r="AP23" s="45">
        <v>16916.72</v>
      </c>
      <c r="AQ23" s="45">
        <v>16925.97</v>
      </c>
      <c r="AR23" s="45">
        <v>16925.97</v>
      </c>
      <c r="AS23" s="45">
        <v>16925.97</v>
      </c>
      <c r="AT23" s="45">
        <v>16925.97</v>
      </c>
      <c r="AU23" s="45">
        <v>16925.97</v>
      </c>
      <c r="AV23" s="45">
        <v>19332.150000000001</v>
      </c>
      <c r="AW23" s="45">
        <v>5827.48</v>
      </c>
      <c r="AX23" s="45">
        <v>-220.91</v>
      </c>
      <c r="AY23" s="45">
        <v>-220.91</v>
      </c>
      <c r="AZ23" s="45">
        <v>12075.39</v>
      </c>
      <c r="BA23" s="45">
        <v>12085.57</v>
      </c>
      <c r="BB23" s="45">
        <v>12186.24</v>
      </c>
      <c r="BC23" s="45">
        <v>12314.2</v>
      </c>
      <c r="BD23" s="45">
        <v>12314.2</v>
      </c>
      <c r="BE23" s="45">
        <v>12314.2</v>
      </c>
      <c r="BF23" s="45">
        <v>12314.2</v>
      </c>
      <c r="BG23" s="45">
        <v>12314.2</v>
      </c>
      <c r="BH23" s="45">
        <v>12680.2</v>
      </c>
      <c r="BI23" s="45">
        <v>2052.88</v>
      </c>
      <c r="BJ23" s="45">
        <v>0</v>
      </c>
      <c r="BK23" s="45">
        <v>0</v>
      </c>
      <c r="BL23" s="45">
        <v>9553.5400000000009</v>
      </c>
      <c r="BM23" s="45">
        <v>9872.83</v>
      </c>
      <c r="BN23" s="45">
        <v>9891.52</v>
      </c>
      <c r="BO23" s="19">
        <v>9914.73</v>
      </c>
      <c r="BP23" s="19">
        <v>9914.73</v>
      </c>
      <c r="BQ23" s="25">
        <v>9914.73</v>
      </c>
      <c r="BR23" s="25">
        <v>9914.73</v>
      </c>
      <c r="BS23" s="25">
        <v>9977.82</v>
      </c>
      <c r="BT23" s="25"/>
      <c r="BU23" s="25"/>
      <c r="BV23" s="25"/>
      <c r="BW23" s="25"/>
      <c r="BX23" s="25">
        <v>2159.13</v>
      </c>
      <c r="BY23" s="25">
        <v>2059.13</v>
      </c>
      <c r="BZ23" s="25">
        <v>2059.13</v>
      </c>
      <c r="CA23" s="25">
        <v>2059.13</v>
      </c>
      <c r="CB23" s="25">
        <v>2059.13</v>
      </c>
      <c r="CC23" s="25">
        <v>2059.13</v>
      </c>
      <c r="CD23" s="25">
        <v>2059.13</v>
      </c>
      <c r="CE23" s="25">
        <v>2059.13</v>
      </c>
      <c r="CF23" s="25"/>
      <c r="CG23" s="25"/>
      <c r="CH23" s="25"/>
      <c r="CI23" s="25"/>
      <c r="CJ23" s="25">
        <v>15327.16</v>
      </c>
      <c r="CK23" s="25">
        <v>15327.16</v>
      </c>
      <c r="CL23" s="25">
        <v>15327.16</v>
      </c>
      <c r="CM23" s="25">
        <v>15327.16</v>
      </c>
      <c r="CN23" s="25">
        <v>15327.16</v>
      </c>
      <c r="CO23" s="25">
        <v>15327.16</v>
      </c>
      <c r="CP23" s="25">
        <v>15327.16</v>
      </c>
      <c r="CQ23" s="25">
        <v>15327.16</v>
      </c>
      <c r="CV23" s="59">
        <v>11273.89</v>
      </c>
      <c r="CW23" s="59">
        <v>11273.89</v>
      </c>
      <c r="CX23" s="59">
        <v>11273.89</v>
      </c>
      <c r="CY23" s="59">
        <v>11273.89</v>
      </c>
      <c r="CZ23" s="59">
        <v>11273.89</v>
      </c>
      <c r="DA23" s="59">
        <v>11273.89</v>
      </c>
      <c r="DB23" s="59"/>
      <c r="DC23" s="59"/>
      <c r="DD23" s="59"/>
      <c r="DE23" s="59"/>
      <c r="DF23" s="59"/>
      <c r="DG23" s="59"/>
      <c r="DH23" s="59">
        <v>12836.49</v>
      </c>
      <c r="DI23" s="59">
        <v>13124.2</v>
      </c>
      <c r="DJ23" s="59">
        <v>13755</v>
      </c>
      <c r="DK23" s="59">
        <v>13755</v>
      </c>
      <c r="DL23" s="59">
        <v>13755</v>
      </c>
      <c r="DM23" s="59">
        <v>15375.21</v>
      </c>
      <c r="DN23" s="60" t="s">
        <v>53</v>
      </c>
      <c r="DO23" s="60" t="s">
        <v>53</v>
      </c>
      <c r="DP23" s="60" t="s">
        <v>53</v>
      </c>
      <c r="DQ23" s="60" t="s">
        <v>53</v>
      </c>
      <c r="DR23" s="60" t="s">
        <v>53</v>
      </c>
      <c r="DS23" s="59">
        <v>-17550.150000000001</v>
      </c>
      <c r="DT23" s="59">
        <v>-17550.150000000001</v>
      </c>
      <c r="DU23" s="59">
        <v>-17550.150000000001</v>
      </c>
      <c r="DV23" s="59">
        <v>-15778.35</v>
      </c>
      <c r="DW23" s="59">
        <v>-15778.35</v>
      </c>
      <c r="DX23" s="59">
        <v>-15778.35</v>
      </c>
      <c r="DY23" s="59">
        <v>-15778.35</v>
      </c>
      <c r="DZ23" s="59">
        <v>-15191.85</v>
      </c>
      <c r="EA23" s="60" t="s">
        <v>53</v>
      </c>
      <c r="EB23" s="60" t="s">
        <v>53</v>
      </c>
      <c r="EC23" s="60" t="s">
        <v>53</v>
      </c>
      <c r="ED23" s="60" t="s">
        <v>53</v>
      </c>
    </row>
    <row r="24" spans="1:134" ht="15.75" customHeight="1" x14ac:dyDescent="0.25">
      <c r="AA24" s="17"/>
      <c r="AG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B24" s="17"/>
      <c r="BC24" s="17"/>
      <c r="BD24" s="17"/>
      <c r="BE24" s="17"/>
      <c r="BF24" s="17"/>
      <c r="BG24" s="17"/>
      <c r="BH24" s="17"/>
      <c r="BJ24" s="17"/>
      <c r="BK24" s="17"/>
      <c r="BL24" s="17"/>
      <c r="BM24" s="17"/>
      <c r="BN24" s="17"/>
      <c r="BO24" s="14"/>
      <c r="BP24" s="16"/>
      <c r="BQ24" s="1"/>
      <c r="BR24" s="1"/>
    </row>
    <row r="25" spans="1:134" ht="15.75" customHeight="1" x14ac:dyDescent="0.25">
      <c r="BN25" s="17"/>
      <c r="BO25" s="14"/>
      <c r="BP25" s="16"/>
      <c r="BQ25" s="1"/>
      <c r="BR25" s="1"/>
      <c r="DH25" s="48"/>
      <c r="DI25" s="48"/>
    </row>
    <row r="26" spans="1:134" ht="15.75" customHeight="1" x14ac:dyDescent="0.25">
      <c r="D26" s="1" t="s">
        <v>54</v>
      </c>
      <c r="BN26" s="17"/>
      <c r="BO26" s="14"/>
      <c r="BP26" s="16"/>
      <c r="BQ26" s="1"/>
      <c r="BR26" s="1"/>
      <c r="DA26" s="61"/>
      <c r="DB26" s="61"/>
      <c r="DC26" s="61"/>
      <c r="DD26" s="61"/>
      <c r="DE26" s="61"/>
      <c r="DF26" s="61"/>
      <c r="DG26" s="61"/>
      <c r="DQ26" s="48"/>
    </row>
    <row r="27" spans="1:134" ht="15.75" customHeight="1" x14ac:dyDescent="0.25">
      <c r="BN27" s="17"/>
      <c r="BO27" s="14"/>
      <c r="BP27" s="16"/>
      <c r="BQ27" s="1"/>
      <c r="BR27" s="1"/>
    </row>
    <row r="28" spans="1:134" ht="15.75" customHeight="1" x14ac:dyDescent="0.25">
      <c r="BN28" s="17"/>
      <c r="BO28" s="14"/>
      <c r="BP28" s="16"/>
      <c r="BQ28" s="15"/>
      <c r="BR28" s="1"/>
    </row>
    <row r="29" spans="1:134" ht="15.75" customHeight="1" x14ac:dyDescent="0.25">
      <c r="BN29" s="17"/>
      <c r="BO29" s="14"/>
      <c r="BP29" s="16"/>
      <c r="BQ29" s="1"/>
      <c r="BR29" s="1"/>
    </row>
    <row r="30" spans="1:134" ht="15.75" customHeight="1" x14ac:dyDescent="0.25">
      <c r="BN30" s="17"/>
      <c r="BO30" s="14"/>
      <c r="BP30" s="16"/>
      <c r="BQ30" s="1"/>
      <c r="BR30" s="1"/>
      <c r="DQ30" s="48"/>
    </row>
    <row r="31" spans="1:134" ht="15.75" customHeight="1" x14ac:dyDescent="0.25">
      <c r="BN31" s="17"/>
      <c r="BO31" s="14"/>
      <c r="BP31" s="16"/>
      <c r="BQ31" s="1"/>
      <c r="BR31" s="1"/>
    </row>
    <row r="32" spans="1:134" ht="15.75" customHeight="1" x14ac:dyDescent="0.25">
      <c r="BN32" s="17"/>
      <c r="BO32" s="14"/>
      <c r="BP32" s="16"/>
      <c r="BQ32" s="1"/>
      <c r="BR32" s="1"/>
    </row>
    <row r="33" spans="66:70" ht="15.75" customHeight="1" x14ac:dyDescent="0.25">
      <c r="BN33" s="17"/>
      <c r="BO33" s="14"/>
      <c r="BP33" s="16"/>
      <c r="BQ33" s="1"/>
      <c r="BR33" s="1"/>
    </row>
    <row r="34" spans="66:70" ht="15.75" customHeight="1" x14ac:dyDescent="0.25">
      <c r="BN34" s="17"/>
      <c r="BO34" s="14"/>
      <c r="BP34" s="16"/>
      <c r="BQ34" s="1"/>
      <c r="BR34" s="1"/>
    </row>
    <row r="35" spans="66:70" ht="15.75" customHeight="1" x14ac:dyDescent="0.25">
      <c r="BN35" s="17"/>
      <c r="BO35" s="14"/>
      <c r="BP35" s="16"/>
      <c r="BQ35" s="1"/>
      <c r="BR35" s="1"/>
    </row>
    <row r="36" spans="66:70" ht="15.75" customHeight="1" x14ac:dyDescent="0.25">
      <c r="BN36" s="17"/>
      <c r="BO36" s="14"/>
      <c r="BP36" s="16"/>
      <c r="BQ36" s="1"/>
      <c r="BR36" s="1"/>
    </row>
    <row r="37" spans="66:70" ht="15.75" customHeight="1" x14ac:dyDescent="0.25">
      <c r="BO37" s="6"/>
      <c r="BP37" s="7"/>
      <c r="BQ37" s="1"/>
      <c r="BR37" s="1"/>
    </row>
    <row r="38" spans="66:70" ht="15.75" customHeight="1" x14ac:dyDescent="0.25">
      <c r="BO38" s="6"/>
      <c r="BP38" s="7"/>
      <c r="BQ38" s="1"/>
      <c r="BR38" s="1"/>
    </row>
    <row r="39" spans="66:70" ht="15.75" customHeight="1" x14ac:dyDescent="0.25">
      <c r="BO39" s="6"/>
      <c r="BP39" s="7"/>
      <c r="BQ39" s="1"/>
      <c r="BR39" s="1"/>
    </row>
    <row r="40" spans="66:70" ht="15.75" customHeight="1" x14ac:dyDescent="0.25">
      <c r="BO40" s="6"/>
      <c r="BP40" s="7"/>
      <c r="BQ40" s="1"/>
      <c r="BR40" s="1"/>
    </row>
    <row r="41" spans="66:70" ht="15.75" customHeight="1" x14ac:dyDescent="0.25">
      <c r="BO41" s="6"/>
      <c r="BP41" s="7"/>
      <c r="BQ41" s="1"/>
      <c r="BR41" s="1"/>
    </row>
    <row r="42" spans="66:70" ht="15.75" customHeight="1" x14ac:dyDescent="0.25">
      <c r="BO42" s="6"/>
      <c r="BP42" s="7"/>
      <c r="BQ42" s="1"/>
      <c r="BR42" s="1"/>
    </row>
    <row r="43" spans="66:70" ht="15.75" customHeight="1" x14ac:dyDescent="0.25">
      <c r="BO43" s="6"/>
      <c r="BP43" s="7"/>
      <c r="BQ43" s="1"/>
      <c r="BR43" s="1"/>
    </row>
    <row r="44" spans="66:70" ht="15.75" customHeight="1" x14ac:dyDescent="0.25">
      <c r="BO44" s="6"/>
      <c r="BP44" s="7"/>
      <c r="BQ44" s="1"/>
      <c r="BR44" s="1"/>
    </row>
    <row r="45" spans="66:70" ht="15.75" customHeight="1" x14ac:dyDescent="0.25">
      <c r="BO45" s="6"/>
      <c r="BP45" s="7"/>
      <c r="BQ45" s="1"/>
      <c r="BR45" s="1"/>
    </row>
    <row r="46" spans="66:70" ht="15.75" customHeight="1" x14ac:dyDescent="0.25">
      <c r="BO46" s="6"/>
      <c r="BP46" s="7"/>
      <c r="BQ46" s="1"/>
      <c r="BR46" s="1"/>
    </row>
    <row r="47" spans="66:70" ht="15.75" customHeight="1" x14ac:dyDescent="0.25">
      <c r="BO47" s="6"/>
      <c r="BP47" s="7"/>
      <c r="BQ47" s="1"/>
      <c r="BR47" s="1"/>
    </row>
    <row r="48" spans="66:70" ht="15.75" customHeight="1" x14ac:dyDescent="0.25">
      <c r="BO48" s="6"/>
      <c r="BP48" s="7"/>
      <c r="BQ48" s="1"/>
      <c r="BR48" s="1"/>
    </row>
    <row r="49" spans="67:70" ht="15.75" customHeight="1" x14ac:dyDescent="0.25">
      <c r="BO49" s="6"/>
      <c r="BP49" s="7"/>
      <c r="BQ49" s="1"/>
      <c r="BR49" s="1"/>
    </row>
    <row r="50" spans="67:70" ht="15.75" customHeight="1" x14ac:dyDescent="0.25">
      <c r="BO50" s="6"/>
      <c r="BP50" s="7"/>
      <c r="BQ50" s="1"/>
      <c r="BR50" s="1"/>
    </row>
    <row r="51" spans="67:70" ht="15.75" customHeight="1" x14ac:dyDescent="0.25">
      <c r="BO51" s="6"/>
      <c r="BP51" s="7"/>
      <c r="BQ51" s="1"/>
      <c r="BR51" s="1"/>
    </row>
    <row r="52" spans="67:70" ht="15.75" customHeight="1" x14ac:dyDescent="0.25">
      <c r="BO52" s="6"/>
      <c r="BP52" s="7"/>
      <c r="BQ52" s="1"/>
      <c r="BR52" s="1"/>
    </row>
    <row r="53" spans="67:70" ht="15.75" customHeight="1" x14ac:dyDescent="0.25">
      <c r="BO53" s="6"/>
      <c r="BP53" s="7"/>
      <c r="BQ53" s="1"/>
      <c r="BR53" s="1"/>
    </row>
    <row r="54" spans="67:70" ht="15.75" customHeight="1" x14ac:dyDescent="0.25">
      <c r="BO54" s="6"/>
      <c r="BP54" s="7"/>
      <c r="BQ54" s="1"/>
      <c r="BR54" s="1"/>
    </row>
    <row r="55" spans="67:70" ht="15.75" customHeight="1" x14ac:dyDescent="0.25">
      <c r="BO55" s="6"/>
      <c r="BP55" s="7"/>
      <c r="BQ55" s="1"/>
      <c r="BR55" s="1"/>
    </row>
    <row r="56" spans="67:70" ht="15.75" customHeight="1" x14ac:dyDescent="0.25">
      <c r="BO56" s="6"/>
      <c r="BP56" s="7"/>
      <c r="BQ56" s="1"/>
      <c r="BR56" s="1"/>
    </row>
    <row r="57" spans="67:70" ht="15.75" customHeight="1" x14ac:dyDescent="0.25">
      <c r="BO57" s="6"/>
      <c r="BP57" s="7"/>
      <c r="BQ57" s="1"/>
      <c r="BR57" s="1"/>
    </row>
    <row r="58" spans="67:70" ht="15.75" customHeight="1" x14ac:dyDescent="0.25">
      <c r="BO58" s="6"/>
      <c r="BP58" s="7"/>
      <c r="BQ58" s="1"/>
      <c r="BR58" s="1"/>
    </row>
    <row r="59" spans="67:70" ht="15.75" customHeight="1" x14ac:dyDescent="0.25">
      <c r="BO59" s="6"/>
      <c r="BP59" s="7"/>
      <c r="BQ59" s="1"/>
      <c r="BR59" s="1"/>
    </row>
    <row r="60" spans="67:70" ht="15.75" customHeight="1" x14ac:dyDescent="0.25">
      <c r="BO60" s="6"/>
      <c r="BP60" s="7"/>
      <c r="BQ60" s="1"/>
      <c r="BR60" s="1"/>
    </row>
    <row r="61" spans="67:70" ht="15.75" customHeight="1" x14ac:dyDescent="0.25">
      <c r="BO61" s="6"/>
      <c r="BP61" s="7"/>
      <c r="BQ61" s="1"/>
      <c r="BR61" s="1"/>
    </row>
    <row r="62" spans="67:70" ht="15.75" customHeight="1" x14ac:dyDescent="0.25">
      <c r="BO62" s="6"/>
      <c r="BP62" s="7"/>
      <c r="BQ62" s="1"/>
      <c r="BR62" s="1"/>
    </row>
    <row r="63" spans="67:70" ht="15.75" customHeight="1" x14ac:dyDescent="0.25">
      <c r="BO63" s="6"/>
      <c r="BP63" s="7"/>
      <c r="BQ63" s="1"/>
      <c r="BR63" s="1"/>
    </row>
    <row r="64" spans="67:70" ht="15.75" customHeight="1" x14ac:dyDescent="0.25">
      <c r="BO64" s="6"/>
      <c r="BP64" s="7"/>
      <c r="BQ64" s="1"/>
      <c r="BR64" s="1"/>
    </row>
    <row r="65" spans="67:70" ht="15.75" customHeight="1" x14ac:dyDescent="0.25">
      <c r="BO65" s="6"/>
      <c r="BP65" s="7"/>
      <c r="BQ65" s="1"/>
      <c r="BR65" s="1"/>
    </row>
    <row r="66" spans="67:70" ht="15.75" customHeight="1" x14ac:dyDescent="0.25">
      <c r="BO66" s="6"/>
      <c r="BP66" s="7"/>
      <c r="BQ66" s="1"/>
      <c r="BR66" s="1"/>
    </row>
    <row r="67" spans="67:70" ht="15.75" customHeight="1" x14ac:dyDescent="0.25">
      <c r="BO67" s="6"/>
      <c r="BP67" s="7"/>
      <c r="BQ67" s="1"/>
      <c r="BR67" s="1"/>
    </row>
    <row r="68" spans="67:70" ht="15.75" customHeight="1" x14ac:dyDescent="0.25">
      <c r="BO68" s="6"/>
      <c r="BP68" s="7"/>
      <c r="BQ68" s="1"/>
      <c r="BR68" s="1"/>
    </row>
    <row r="69" spans="67:70" ht="15.75" customHeight="1" x14ac:dyDescent="0.25">
      <c r="BO69" s="6"/>
      <c r="BP69" s="7"/>
      <c r="BQ69" s="1"/>
      <c r="BR69" s="1"/>
    </row>
    <row r="70" spans="67:70" ht="15.75" customHeight="1" x14ac:dyDescent="0.25">
      <c r="BO70" s="6"/>
      <c r="BP70" s="7"/>
      <c r="BQ70" s="1"/>
      <c r="BR70" s="1"/>
    </row>
    <row r="71" spans="67:70" ht="15.75" customHeight="1" x14ac:dyDescent="0.25">
      <c r="BO71" s="6"/>
      <c r="BP71" s="7"/>
      <c r="BQ71" s="1"/>
      <c r="BR71" s="1"/>
    </row>
    <row r="72" spans="67:70" ht="15.75" customHeight="1" x14ac:dyDescent="0.25">
      <c r="BO72" s="6"/>
      <c r="BP72" s="7"/>
      <c r="BQ72" s="1"/>
      <c r="BR72" s="1"/>
    </row>
    <row r="73" spans="67:70" ht="15.75" customHeight="1" x14ac:dyDescent="0.25">
      <c r="BO73" s="6"/>
      <c r="BP73" s="7"/>
      <c r="BQ73" s="1"/>
      <c r="BR73" s="1"/>
    </row>
    <row r="74" spans="67:70" ht="15.75" customHeight="1" x14ac:dyDescent="0.25">
      <c r="BO74" s="6"/>
      <c r="BP74" s="7"/>
      <c r="BQ74" s="1"/>
      <c r="BR74" s="1"/>
    </row>
    <row r="75" spans="67:70" ht="15.75" customHeight="1" x14ac:dyDescent="0.25">
      <c r="BO75" s="6"/>
      <c r="BP75" s="7"/>
      <c r="BQ75" s="1"/>
      <c r="BR75" s="1"/>
    </row>
    <row r="76" spans="67:70" ht="15.75" customHeight="1" x14ac:dyDescent="0.25">
      <c r="BO76" s="6"/>
      <c r="BP76" s="7"/>
      <c r="BQ76" s="1"/>
      <c r="BR76" s="1"/>
    </row>
    <row r="77" spans="67:70" ht="15.75" customHeight="1" x14ac:dyDescent="0.25">
      <c r="BO77" s="6"/>
      <c r="BP77" s="7"/>
      <c r="BQ77" s="1"/>
      <c r="BR77" s="1"/>
    </row>
    <row r="78" spans="67:70" ht="15.75" customHeight="1" x14ac:dyDescent="0.25">
      <c r="BO78" s="6"/>
      <c r="BP78" s="7"/>
      <c r="BQ78" s="1"/>
      <c r="BR78" s="1"/>
    </row>
    <row r="79" spans="67:70" ht="15.75" customHeight="1" x14ac:dyDescent="0.25">
      <c r="BO79" s="6"/>
      <c r="BP79" s="7"/>
      <c r="BQ79" s="1"/>
      <c r="BR79" s="1"/>
    </row>
    <row r="80" spans="67:70" ht="15.75" customHeight="1" x14ac:dyDescent="0.25">
      <c r="BO80" s="6"/>
      <c r="BP80" s="7"/>
      <c r="BQ80" s="1"/>
      <c r="BR80" s="1"/>
    </row>
    <row r="81" spans="67:70" ht="15.75" customHeight="1" x14ac:dyDescent="0.25">
      <c r="BO81" s="6"/>
      <c r="BP81" s="7"/>
      <c r="BQ81" s="1"/>
      <c r="BR81" s="1"/>
    </row>
    <row r="82" spans="67:70" ht="15.75" customHeight="1" x14ac:dyDescent="0.25">
      <c r="BO82" s="6"/>
      <c r="BP82" s="7"/>
      <c r="BQ82" s="1"/>
      <c r="BR82" s="1"/>
    </row>
    <row r="83" spans="67:70" ht="15.75" customHeight="1" x14ac:dyDescent="0.25">
      <c r="BO83" s="6"/>
      <c r="BP83" s="7"/>
      <c r="BQ83" s="1"/>
      <c r="BR83" s="1"/>
    </row>
    <row r="84" spans="67:70" ht="15.75" customHeight="1" x14ac:dyDescent="0.25">
      <c r="BO84" s="6"/>
      <c r="BP84" s="7"/>
      <c r="BQ84" s="1"/>
      <c r="BR84" s="1"/>
    </row>
    <row r="85" spans="67:70" ht="15.75" customHeight="1" x14ac:dyDescent="0.25">
      <c r="BO85" s="6"/>
      <c r="BP85" s="7"/>
      <c r="BQ85" s="1"/>
      <c r="BR85" s="1"/>
    </row>
    <row r="86" spans="67:70" ht="15.75" customHeight="1" x14ac:dyDescent="0.25">
      <c r="BO86" s="6"/>
      <c r="BP86" s="7"/>
      <c r="BQ86" s="1"/>
      <c r="BR86" s="1"/>
    </row>
    <row r="87" spans="67:70" ht="15.75" customHeight="1" x14ac:dyDescent="0.25">
      <c r="BO87" s="6"/>
      <c r="BP87" s="7"/>
      <c r="BQ87" s="1"/>
      <c r="BR87" s="1"/>
    </row>
    <row r="88" spans="67:70" ht="15.75" customHeight="1" x14ac:dyDescent="0.25">
      <c r="BO88" s="6"/>
      <c r="BP88" s="7"/>
      <c r="BQ88" s="1"/>
      <c r="BR88" s="1"/>
    </row>
    <row r="89" spans="67:70" ht="15.75" customHeight="1" x14ac:dyDescent="0.25">
      <c r="BO89" s="6"/>
      <c r="BP89" s="7"/>
      <c r="BQ89" s="1"/>
      <c r="BR89" s="1"/>
    </row>
    <row r="90" spans="67:70" ht="15.75" customHeight="1" x14ac:dyDescent="0.25">
      <c r="BO90" s="6"/>
      <c r="BP90" s="7"/>
      <c r="BQ90" s="1"/>
      <c r="BR90" s="1"/>
    </row>
    <row r="91" spans="67:70" ht="15.75" customHeight="1" x14ac:dyDescent="0.25">
      <c r="BO91" s="6"/>
      <c r="BP91" s="7"/>
      <c r="BQ91" s="1"/>
      <c r="BR91" s="1"/>
    </row>
    <row r="92" spans="67:70" ht="15.75" customHeight="1" x14ac:dyDescent="0.25">
      <c r="BO92" s="6"/>
      <c r="BP92" s="7"/>
      <c r="BQ92" s="1"/>
      <c r="BR92" s="1"/>
    </row>
    <row r="93" spans="67:70" ht="15.75" customHeight="1" x14ac:dyDescent="0.25">
      <c r="BO93" s="6"/>
      <c r="BP93" s="7"/>
      <c r="BQ93" s="1"/>
      <c r="BR93" s="1"/>
    </row>
    <row r="94" spans="67:70" ht="15.75" customHeight="1" x14ac:dyDescent="0.25">
      <c r="BO94" s="6"/>
      <c r="BP94" s="7"/>
      <c r="BQ94" s="1"/>
      <c r="BR94" s="1"/>
    </row>
    <row r="95" spans="67:70" ht="15.75" customHeight="1" x14ac:dyDescent="0.25">
      <c r="BO95" s="6"/>
      <c r="BP95" s="7"/>
      <c r="BQ95" s="1"/>
      <c r="BR95" s="1"/>
    </row>
    <row r="96" spans="67:70" ht="15.75" customHeight="1" x14ac:dyDescent="0.25">
      <c r="BO96" s="6"/>
      <c r="BP96" s="7"/>
      <c r="BQ96" s="1"/>
      <c r="BR96" s="1"/>
    </row>
    <row r="97" spans="67:70" ht="15.75" customHeight="1" x14ac:dyDescent="0.25">
      <c r="BO97" s="6"/>
      <c r="BP97" s="7"/>
      <c r="BQ97" s="1"/>
      <c r="BR97" s="1"/>
    </row>
    <row r="98" spans="67:70" ht="15.75" customHeight="1" x14ac:dyDescent="0.25">
      <c r="BO98" s="6"/>
      <c r="BP98" s="7"/>
      <c r="BQ98" s="1"/>
      <c r="BR98" s="1"/>
    </row>
    <row r="99" spans="67:70" ht="15.75" customHeight="1" x14ac:dyDescent="0.25">
      <c r="BO99" s="6"/>
      <c r="BP99" s="7"/>
      <c r="BQ99" s="1"/>
      <c r="BR99" s="1"/>
    </row>
    <row r="100" spans="67:70" ht="15.75" customHeight="1" x14ac:dyDescent="0.25">
      <c r="BO100" s="6"/>
      <c r="BP100" s="7"/>
      <c r="BQ100" s="1"/>
      <c r="BR100" s="1"/>
    </row>
    <row r="101" spans="67:70" ht="15.75" customHeight="1" x14ac:dyDescent="0.25">
      <c r="BO101" s="6"/>
      <c r="BP101" s="7"/>
      <c r="BQ101" s="1"/>
      <c r="BR101" s="1"/>
    </row>
    <row r="102" spans="67:70" ht="15.75" customHeight="1" x14ac:dyDescent="0.25">
      <c r="BO102" s="6"/>
      <c r="BP102" s="7"/>
      <c r="BQ102" s="1"/>
      <c r="BR102" s="1"/>
    </row>
    <row r="103" spans="67:70" ht="15.75" customHeight="1" x14ac:dyDescent="0.25">
      <c r="BO103" s="6"/>
      <c r="BP103" s="7"/>
      <c r="BQ103" s="1"/>
      <c r="BR103" s="1"/>
    </row>
    <row r="104" spans="67:70" ht="15.75" customHeight="1" x14ac:dyDescent="0.25">
      <c r="BO104" s="6"/>
      <c r="BP104" s="7"/>
      <c r="BQ104" s="1"/>
      <c r="BR104" s="1"/>
    </row>
    <row r="105" spans="67:70" ht="15.75" customHeight="1" x14ac:dyDescent="0.25">
      <c r="BO105" s="6"/>
      <c r="BP105" s="7"/>
      <c r="BQ105" s="1"/>
      <c r="BR105" s="1"/>
    </row>
    <row r="106" spans="67:70" ht="15.75" customHeight="1" x14ac:dyDescent="0.25">
      <c r="BO106" s="6"/>
      <c r="BP106" s="7"/>
      <c r="BQ106" s="1"/>
      <c r="BR106" s="1"/>
    </row>
    <row r="107" spans="67:70" ht="15.75" customHeight="1" x14ac:dyDescent="0.25">
      <c r="BO107" s="6"/>
      <c r="BP107" s="7"/>
      <c r="BQ107" s="1"/>
      <c r="BR107" s="1"/>
    </row>
    <row r="108" spans="67:70" ht="15.75" customHeight="1" x14ac:dyDescent="0.25">
      <c r="BO108" s="6"/>
      <c r="BP108" s="7"/>
      <c r="BQ108" s="1"/>
      <c r="BR108" s="1"/>
    </row>
    <row r="109" spans="67:70" ht="15.75" customHeight="1" x14ac:dyDescent="0.25">
      <c r="BO109" s="6"/>
      <c r="BP109" s="7"/>
      <c r="BQ109" s="1"/>
      <c r="BR109" s="1"/>
    </row>
    <row r="110" spans="67:70" ht="15.75" customHeight="1" x14ac:dyDescent="0.25">
      <c r="BO110" s="6"/>
      <c r="BP110" s="7"/>
      <c r="BQ110" s="1"/>
      <c r="BR110" s="1"/>
    </row>
    <row r="111" spans="67:70" ht="15.75" customHeight="1" x14ac:dyDescent="0.25">
      <c r="BO111" s="6"/>
      <c r="BP111" s="7"/>
      <c r="BQ111" s="1"/>
      <c r="BR111" s="1"/>
    </row>
    <row r="112" spans="67:70" ht="15.75" customHeight="1" x14ac:dyDescent="0.25">
      <c r="BO112" s="6"/>
      <c r="BP112" s="7"/>
      <c r="BQ112" s="1"/>
      <c r="BR112" s="1"/>
    </row>
    <row r="113" spans="67:70" ht="15.75" customHeight="1" x14ac:dyDescent="0.25">
      <c r="BO113" s="6"/>
      <c r="BP113" s="7"/>
      <c r="BQ113" s="1"/>
      <c r="BR113" s="1"/>
    </row>
    <row r="114" spans="67:70" ht="15.75" customHeight="1" x14ac:dyDescent="0.25">
      <c r="BO114" s="6"/>
      <c r="BP114" s="7"/>
      <c r="BQ114" s="1"/>
      <c r="BR114" s="1"/>
    </row>
    <row r="115" spans="67:70" ht="15.75" customHeight="1" x14ac:dyDescent="0.25">
      <c r="BO115" s="6"/>
      <c r="BP115" s="7"/>
      <c r="BQ115" s="1"/>
      <c r="BR115" s="1"/>
    </row>
    <row r="116" spans="67:70" ht="15.75" customHeight="1" x14ac:dyDescent="0.25">
      <c r="BO116" s="6"/>
      <c r="BP116" s="7"/>
      <c r="BQ116" s="1"/>
      <c r="BR116" s="1"/>
    </row>
    <row r="117" spans="67:70" ht="15.75" customHeight="1" x14ac:dyDescent="0.25">
      <c r="BO117" s="6"/>
      <c r="BP117" s="7"/>
      <c r="BQ117" s="1"/>
      <c r="BR117" s="1"/>
    </row>
    <row r="118" spans="67:70" ht="15.75" customHeight="1" x14ac:dyDescent="0.25">
      <c r="BO118" s="6"/>
      <c r="BP118" s="7"/>
      <c r="BQ118" s="1"/>
      <c r="BR118" s="1"/>
    </row>
    <row r="119" spans="67:70" ht="15.75" customHeight="1" x14ac:dyDescent="0.25">
      <c r="BO119" s="6"/>
      <c r="BP119" s="7"/>
      <c r="BQ119" s="1"/>
      <c r="BR119" s="1"/>
    </row>
    <row r="120" spans="67:70" ht="15.75" customHeight="1" x14ac:dyDescent="0.25">
      <c r="BO120" s="6"/>
      <c r="BP120" s="7"/>
      <c r="BQ120" s="1"/>
      <c r="BR120" s="1"/>
    </row>
    <row r="121" spans="67:70" ht="15.75" customHeight="1" x14ac:dyDescent="0.25">
      <c r="BO121" s="6"/>
      <c r="BP121" s="7"/>
      <c r="BQ121" s="1"/>
      <c r="BR121" s="1"/>
    </row>
    <row r="122" spans="67:70" ht="15.75" customHeight="1" x14ac:dyDescent="0.25">
      <c r="BO122" s="6"/>
      <c r="BP122" s="7"/>
      <c r="BQ122" s="1"/>
      <c r="BR122" s="1"/>
    </row>
    <row r="123" spans="67:70" ht="15.75" customHeight="1" x14ac:dyDescent="0.25">
      <c r="BO123" s="6"/>
      <c r="BP123" s="7"/>
      <c r="BQ123" s="1"/>
      <c r="BR123" s="1"/>
    </row>
    <row r="124" spans="67:70" ht="15.75" customHeight="1" x14ac:dyDescent="0.25">
      <c r="BO124" s="6"/>
      <c r="BP124" s="7"/>
      <c r="BQ124" s="1"/>
      <c r="BR124" s="1"/>
    </row>
    <row r="125" spans="67:70" ht="15.75" customHeight="1" x14ac:dyDescent="0.25">
      <c r="BO125" s="6"/>
      <c r="BP125" s="7"/>
      <c r="BQ125" s="1"/>
      <c r="BR125" s="1"/>
    </row>
    <row r="126" spans="67:70" ht="15.75" customHeight="1" x14ac:dyDescent="0.25">
      <c r="BO126" s="6"/>
      <c r="BP126" s="7"/>
      <c r="BQ126" s="1"/>
      <c r="BR126" s="1"/>
    </row>
    <row r="127" spans="67:70" ht="15.75" customHeight="1" x14ac:dyDescent="0.25">
      <c r="BO127" s="6"/>
      <c r="BP127" s="7"/>
      <c r="BQ127" s="1"/>
      <c r="BR127" s="1"/>
    </row>
    <row r="128" spans="67:70" ht="15.75" customHeight="1" x14ac:dyDescent="0.25">
      <c r="BO128" s="6"/>
      <c r="BP128" s="7"/>
      <c r="BQ128" s="1"/>
      <c r="BR128" s="1"/>
    </row>
    <row r="129" spans="67:70" ht="15.75" customHeight="1" x14ac:dyDescent="0.25">
      <c r="BO129" s="6"/>
      <c r="BP129" s="7"/>
      <c r="BQ129" s="1"/>
      <c r="BR129" s="1"/>
    </row>
    <row r="130" spans="67:70" ht="15.75" customHeight="1" x14ac:dyDescent="0.25">
      <c r="BO130" s="6"/>
      <c r="BP130" s="7"/>
      <c r="BQ130" s="1"/>
      <c r="BR130" s="1"/>
    </row>
    <row r="131" spans="67:70" ht="15.75" customHeight="1" x14ac:dyDescent="0.25">
      <c r="BO131" s="6"/>
      <c r="BP131" s="7"/>
      <c r="BQ131" s="1"/>
      <c r="BR131" s="1"/>
    </row>
    <row r="132" spans="67:70" ht="15.75" customHeight="1" x14ac:dyDescent="0.25">
      <c r="BO132" s="6"/>
      <c r="BP132" s="7"/>
      <c r="BQ132" s="1"/>
      <c r="BR132" s="1"/>
    </row>
    <row r="133" spans="67:70" ht="15.75" customHeight="1" x14ac:dyDescent="0.25">
      <c r="BO133" s="6"/>
      <c r="BP133" s="7"/>
      <c r="BQ133" s="1"/>
      <c r="BR133" s="1"/>
    </row>
    <row r="134" spans="67:70" ht="15.75" customHeight="1" x14ac:dyDescent="0.25">
      <c r="BO134" s="6"/>
      <c r="BP134" s="7"/>
      <c r="BQ134" s="1"/>
      <c r="BR134" s="1"/>
    </row>
    <row r="135" spans="67:70" ht="15.75" customHeight="1" x14ac:dyDescent="0.25">
      <c r="BO135" s="6"/>
      <c r="BP135" s="7"/>
      <c r="BQ135" s="1"/>
      <c r="BR135" s="1"/>
    </row>
    <row r="136" spans="67:70" ht="15.75" customHeight="1" x14ac:dyDescent="0.25">
      <c r="BO136" s="6"/>
      <c r="BP136" s="7"/>
      <c r="BQ136" s="1"/>
      <c r="BR136" s="1"/>
    </row>
    <row r="137" spans="67:70" ht="15.75" customHeight="1" x14ac:dyDescent="0.25">
      <c r="BO137" s="6"/>
      <c r="BP137" s="7"/>
      <c r="BQ137" s="1"/>
      <c r="BR137" s="1"/>
    </row>
    <row r="138" spans="67:70" ht="15.75" customHeight="1" x14ac:dyDescent="0.25">
      <c r="BO138" s="6"/>
      <c r="BP138" s="7"/>
      <c r="BQ138" s="1"/>
      <c r="BR138" s="1"/>
    </row>
    <row r="139" spans="67:70" ht="15.75" customHeight="1" x14ac:dyDescent="0.25">
      <c r="BO139" s="6"/>
      <c r="BP139" s="7"/>
      <c r="BQ139" s="1"/>
      <c r="BR139" s="1"/>
    </row>
    <row r="140" spans="67:70" ht="15.75" customHeight="1" x14ac:dyDescent="0.25">
      <c r="BO140" s="6"/>
      <c r="BP140" s="7"/>
      <c r="BQ140" s="1"/>
      <c r="BR140" s="1"/>
    </row>
    <row r="141" spans="67:70" ht="15.75" customHeight="1" x14ac:dyDescent="0.25">
      <c r="BO141" s="6"/>
      <c r="BP141" s="7"/>
      <c r="BQ141" s="1"/>
      <c r="BR141" s="1"/>
    </row>
    <row r="142" spans="67:70" ht="15.75" customHeight="1" x14ac:dyDescent="0.25">
      <c r="BO142" s="6"/>
      <c r="BP142" s="7"/>
      <c r="BQ142" s="1"/>
      <c r="BR142" s="1"/>
    </row>
    <row r="143" spans="67:70" ht="15.75" customHeight="1" x14ac:dyDescent="0.25">
      <c r="BO143" s="6"/>
      <c r="BP143" s="7"/>
      <c r="BQ143" s="1"/>
      <c r="BR143" s="1"/>
    </row>
    <row r="144" spans="67:70" ht="15.75" customHeight="1" x14ac:dyDescent="0.25">
      <c r="BO144" s="6"/>
      <c r="BP144" s="7"/>
      <c r="BQ144" s="1"/>
      <c r="BR144" s="1"/>
    </row>
    <row r="145" spans="67:70" ht="15.75" customHeight="1" x14ac:dyDescent="0.25">
      <c r="BO145" s="6"/>
      <c r="BP145" s="7"/>
      <c r="BQ145" s="1"/>
      <c r="BR145" s="1"/>
    </row>
    <row r="146" spans="67:70" ht="15.75" customHeight="1" x14ac:dyDescent="0.25">
      <c r="BO146" s="6"/>
      <c r="BP146" s="7"/>
      <c r="BQ146" s="1"/>
      <c r="BR146" s="1"/>
    </row>
    <row r="147" spans="67:70" ht="15.75" customHeight="1" x14ac:dyDescent="0.25">
      <c r="BO147" s="6"/>
      <c r="BP147" s="7"/>
      <c r="BQ147" s="1"/>
      <c r="BR147" s="1"/>
    </row>
    <row r="148" spans="67:70" ht="15.75" customHeight="1" x14ac:dyDescent="0.25">
      <c r="BO148" s="6"/>
      <c r="BP148" s="7"/>
      <c r="BQ148" s="1"/>
      <c r="BR148" s="1"/>
    </row>
    <row r="149" spans="67:70" ht="15.75" customHeight="1" x14ac:dyDescent="0.25">
      <c r="BO149" s="6"/>
      <c r="BP149" s="7"/>
      <c r="BQ149" s="1"/>
      <c r="BR149" s="1"/>
    </row>
    <row r="150" spans="67:70" ht="15.75" customHeight="1" x14ac:dyDescent="0.25">
      <c r="BO150" s="6"/>
      <c r="BP150" s="7"/>
      <c r="BQ150" s="1"/>
      <c r="BR150" s="1"/>
    </row>
    <row r="151" spans="67:70" ht="15.75" customHeight="1" x14ac:dyDescent="0.25">
      <c r="BO151" s="6"/>
      <c r="BP151" s="7"/>
      <c r="BQ151" s="1"/>
      <c r="BR151" s="1"/>
    </row>
    <row r="152" spans="67:70" ht="15.75" customHeight="1" x14ac:dyDescent="0.25">
      <c r="BO152" s="6"/>
      <c r="BP152" s="7"/>
      <c r="BQ152" s="1"/>
      <c r="BR152" s="1"/>
    </row>
    <row r="153" spans="67:70" ht="15.75" customHeight="1" x14ac:dyDescent="0.25">
      <c r="BO153" s="6"/>
      <c r="BP153" s="7"/>
      <c r="BQ153" s="1"/>
      <c r="BR153" s="1"/>
    </row>
    <row r="154" spans="67:70" ht="15.75" customHeight="1" x14ac:dyDescent="0.25">
      <c r="BO154" s="6"/>
      <c r="BP154" s="7"/>
      <c r="BQ154" s="1"/>
      <c r="BR154" s="1"/>
    </row>
    <row r="155" spans="67:70" ht="15.75" customHeight="1" x14ac:dyDescent="0.25">
      <c r="BO155" s="6"/>
      <c r="BP155" s="7"/>
      <c r="BQ155" s="1"/>
      <c r="BR155" s="1"/>
    </row>
    <row r="156" spans="67:70" ht="15.75" customHeight="1" x14ac:dyDescent="0.25">
      <c r="BO156" s="6"/>
      <c r="BP156" s="7"/>
      <c r="BQ156" s="1"/>
      <c r="BR156" s="1"/>
    </row>
    <row r="157" spans="67:70" ht="15.75" customHeight="1" x14ac:dyDescent="0.25">
      <c r="BO157" s="6"/>
      <c r="BP157" s="7"/>
      <c r="BQ157" s="1"/>
      <c r="BR157" s="1"/>
    </row>
    <row r="158" spans="67:70" ht="15.75" customHeight="1" x14ac:dyDescent="0.25">
      <c r="BO158" s="6"/>
      <c r="BP158" s="7"/>
      <c r="BQ158" s="1"/>
      <c r="BR158" s="1"/>
    </row>
    <row r="159" spans="67:70" ht="15.75" customHeight="1" x14ac:dyDescent="0.25">
      <c r="BO159" s="6"/>
      <c r="BP159" s="7"/>
      <c r="BQ159" s="1"/>
      <c r="BR159" s="1"/>
    </row>
    <row r="160" spans="67:70" ht="15.75" customHeight="1" x14ac:dyDescent="0.25">
      <c r="BO160" s="6"/>
      <c r="BP160" s="7"/>
      <c r="BQ160" s="1"/>
      <c r="BR160" s="1"/>
    </row>
    <row r="161" spans="67:70" ht="15.75" customHeight="1" x14ac:dyDescent="0.25">
      <c r="BO161" s="6"/>
      <c r="BP161" s="7"/>
      <c r="BQ161" s="1"/>
      <c r="BR161" s="1"/>
    </row>
    <row r="162" spans="67:70" ht="15.75" customHeight="1" x14ac:dyDescent="0.25">
      <c r="BO162" s="6"/>
      <c r="BP162" s="7"/>
      <c r="BQ162" s="1"/>
      <c r="BR162" s="1"/>
    </row>
    <row r="163" spans="67:70" ht="15.75" customHeight="1" x14ac:dyDescent="0.25">
      <c r="BO163" s="6"/>
      <c r="BP163" s="7"/>
      <c r="BQ163" s="1"/>
      <c r="BR163" s="1"/>
    </row>
    <row r="164" spans="67:70" ht="15.75" customHeight="1" x14ac:dyDescent="0.25">
      <c r="BO164" s="6"/>
      <c r="BP164" s="7"/>
      <c r="BQ164" s="1"/>
      <c r="BR164" s="1"/>
    </row>
    <row r="165" spans="67:70" ht="15.75" customHeight="1" x14ac:dyDescent="0.25">
      <c r="BO165" s="6"/>
      <c r="BP165" s="7"/>
      <c r="BQ165" s="1"/>
      <c r="BR165" s="1"/>
    </row>
    <row r="166" spans="67:70" ht="15.75" customHeight="1" x14ac:dyDescent="0.25">
      <c r="BO166" s="6"/>
      <c r="BP166" s="7"/>
      <c r="BQ166" s="1"/>
      <c r="BR166" s="1"/>
    </row>
    <row r="167" spans="67:70" ht="15.75" customHeight="1" x14ac:dyDescent="0.25">
      <c r="BO167" s="6"/>
      <c r="BP167" s="7"/>
      <c r="BQ167" s="1"/>
      <c r="BR167" s="1"/>
    </row>
    <row r="168" spans="67:70" ht="15.75" customHeight="1" x14ac:dyDescent="0.25">
      <c r="BO168" s="6"/>
      <c r="BP168" s="7"/>
      <c r="BQ168" s="1"/>
      <c r="BR168" s="1"/>
    </row>
    <row r="169" spans="67:70" ht="15.75" customHeight="1" x14ac:dyDescent="0.25">
      <c r="BO169" s="6"/>
      <c r="BP169" s="7"/>
      <c r="BQ169" s="1"/>
      <c r="BR169" s="1"/>
    </row>
    <row r="170" spans="67:70" ht="15.75" customHeight="1" x14ac:dyDescent="0.25">
      <c r="BO170" s="6"/>
      <c r="BP170" s="7"/>
      <c r="BQ170" s="1"/>
      <c r="BR170" s="1"/>
    </row>
    <row r="171" spans="67:70" ht="15.75" customHeight="1" x14ac:dyDescent="0.25">
      <c r="BO171" s="6"/>
      <c r="BP171" s="7"/>
      <c r="BQ171" s="1"/>
      <c r="BR171" s="1"/>
    </row>
    <row r="172" spans="67:70" ht="15.75" customHeight="1" x14ac:dyDescent="0.25">
      <c r="BO172" s="6"/>
      <c r="BP172" s="7"/>
      <c r="BQ172" s="1"/>
      <c r="BR172" s="1"/>
    </row>
    <row r="173" spans="67:70" ht="15.75" customHeight="1" x14ac:dyDescent="0.25">
      <c r="BO173" s="6"/>
      <c r="BP173" s="7"/>
      <c r="BQ173" s="1"/>
      <c r="BR173" s="1"/>
    </row>
    <row r="174" spans="67:70" ht="15.75" customHeight="1" x14ac:dyDescent="0.25">
      <c r="BO174" s="6"/>
      <c r="BP174" s="7"/>
      <c r="BQ174" s="1"/>
      <c r="BR174" s="1"/>
    </row>
    <row r="175" spans="67:70" ht="15.75" customHeight="1" x14ac:dyDescent="0.25">
      <c r="BO175" s="6"/>
      <c r="BP175" s="7"/>
      <c r="BQ175" s="1"/>
      <c r="BR175" s="1"/>
    </row>
    <row r="176" spans="67:70" ht="15.75" customHeight="1" x14ac:dyDescent="0.25">
      <c r="BO176" s="6"/>
      <c r="BP176" s="7"/>
      <c r="BQ176" s="1"/>
      <c r="BR176" s="1"/>
    </row>
    <row r="177" spans="67:70" ht="15.75" customHeight="1" x14ac:dyDescent="0.25">
      <c r="BO177" s="6"/>
      <c r="BP177" s="7"/>
      <c r="BQ177" s="1"/>
      <c r="BR177" s="1"/>
    </row>
    <row r="178" spans="67:70" ht="15.75" customHeight="1" x14ac:dyDescent="0.25">
      <c r="BO178" s="6"/>
      <c r="BP178" s="7"/>
      <c r="BQ178" s="1"/>
      <c r="BR178" s="1"/>
    </row>
    <row r="179" spans="67:70" ht="15.75" customHeight="1" x14ac:dyDescent="0.25">
      <c r="BO179" s="6"/>
      <c r="BP179" s="7"/>
      <c r="BQ179" s="1"/>
      <c r="BR179" s="1"/>
    </row>
    <row r="180" spans="67:70" ht="15.75" customHeight="1" x14ac:dyDescent="0.25">
      <c r="BO180" s="6"/>
      <c r="BP180" s="7"/>
      <c r="BQ180" s="1"/>
      <c r="BR180" s="1"/>
    </row>
    <row r="181" spans="67:70" ht="15.75" customHeight="1" x14ac:dyDescent="0.25">
      <c r="BO181" s="6"/>
      <c r="BP181" s="7"/>
      <c r="BQ181" s="1"/>
      <c r="BR181" s="1"/>
    </row>
    <row r="182" spans="67:70" ht="15.75" customHeight="1" x14ac:dyDescent="0.25">
      <c r="BO182" s="6"/>
      <c r="BP182" s="7"/>
      <c r="BQ182" s="1"/>
      <c r="BR182" s="1"/>
    </row>
    <row r="183" spans="67:70" ht="15.75" customHeight="1" x14ac:dyDescent="0.25">
      <c r="BO183" s="6"/>
      <c r="BP183" s="7"/>
      <c r="BQ183" s="1"/>
      <c r="BR183" s="1"/>
    </row>
    <row r="184" spans="67:70" ht="15.75" customHeight="1" x14ac:dyDescent="0.25">
      <c r="BO184" s="6"/>
      <c r="BP184" s="7"/>
      <c r="BQ184" s="1"/>
      <c r="BR184" s="1"/>
    </row>
    <row r="185" spans="67:70" ht="15.75" customHeight="1" x14ac:dyDescent="0.25">
      <c r="BO185" s="6"/>
      <c r="BP185" s="7"/>
      <c r="BQ185" s="1"/>
      <c r="BR185" s="1"/>
    </row>
    <row r="186" spans="67:70" ht="15.75" customHeight="1" x14ac:dyDescent="0.25">
      <c r="BO186" s="6"/>
      <c r="BP186" s="7"/>
      <c r="BQ186" s="1"/>
      <c r="BR186" s="1"/>
    </row>
    <row r="187" spans="67:70" ht="15.75" customHeight="1" x14ac:dyDescent="0.25">
      <c r="BO187" s="6"/>
      <c r="BP187" s="7"/>
      <c r="BQ187" s="1"/>
      <c r="BR187" s="1"/>
    </row>
    <row r="188" spans="67:70" ht="15.75" customHeight="1" x14ac:dyDescent="0.25">
      <c r="BO188" s="6"/>
      <c r="BP188" s="7"/>
      <c r="BQ188" s="1"/>
      <c r="BR188" s="1"/>
    </row>
    <row r="189" spans="67:70" ht="15.75" customHeight="1" x14ac:dyDescent="0.25">
      <c r="BO189" s="6"/>
      <c r="BP189" s="7"/>
      <c r="BQ189" s="1"/>
      <c r="BR189" s="1"/>
    </row>
    <row r="190" spans="67:70" ht="15.75" customHeight="1" x14ac:dyDescent="0.25">
      <c r="BO190" s="6"/>
      <c r="BP190" s="7"/>
      <c r="BQ190" s="1"/>
      <c r="BR190" s="1"/>
    </row>
    <row r="191" spans="67:70" ht="15.75" customHeight="1" x14ac:dyDescent="0.25">
      <c r="BO191" s="6"/>
      <c r="BP191" s="7"/>
      <c r="BQ191" s="1"/>
      <c r="BR191" s="1"/>
    </row>
    <row r="192" spans="67:70" ht="15.75" customHeight="1" x14ac:dyDescent="0.25">
      <c r="BO192" s="6"/>
      <c r="BP192" s="7"/>
      <c r="BQ192" s="1"/>
      <c r="BR192" s="1"/>
    </row>
    <row r="193" spans="67:70" ht="15.75" customHeight="1" x14ac:dyDescent="0.25">
      <c r="BO193" s="6"/>
      <c r="BP193" s="7"/>
      <c r="BQ193" s="1"/>
      <c r="BR193" s="1"/>
    </row>
    <row r="194" spans="67:70" ht="15.75" customHeight="1" x14ac:dyDescent="0.25">
      <c r="BO194" s="6"/>
      <c r="BP194" s="7"/>
      <c r="BQ194" s="1"/>
      <c r="BR194" s="1"/>
    </row>
    <row r="195" spans="67:70" ht="15.75" customHeight="1" x14ac:dyDescent="0.25">
      <c r="BO195" s="6"/>
      <c r="BP195" s="7"/>
      <c r="BQ195" s="1"/>
      <c r="BR195" s="1"/>
    </row>
    <row r="196" spans="67:70" ht="15.75" customHeight="1" x14ac:dyDescent="0.25">
      <c r="BO196" s="6"/>
      <c r="BP196" s="7"/>
      <c r="BQ196" s="1"/>
      <c r="BR196" s="1"/>
    </row>
    <row r="197" spans="67:70" ht="15.75" customHeight="1" x14ac:dyDescent="0.25">
      <c r="BO197" s="6"/>
      <c r="BP197" s="7"/>
      <c r="BQ197" s="1"/>
      <c r="BR197" s="1"/>
    </row>
    <row r="198" spans="67:70" ht="15.75" customHeight="1" x14ac:dyDescent="0.25">
      <c r="BO198" s="6"/>
      <c r="BP198" s="7"/>
      <c r="BQ198" s="1"/>
      <c r="BR198" s="1"/>
    </row>
    <row r="199" spans="67:70" ht="15.75" customHeight="1" x14ac:dyDescent="0.25">
      <c r="BO199" s="6"/>
      <c r="BP199" s="7"/>
      <c r="BQ199" s="1"/>
      <c r="BR199" s="1"/>
    </row>
    <row r="200" spans="67:70" ht="15.75" customHeight="1" x14ac:dyDescent="0.25">
      <c r="BO200" s="6"/>
      <c r="BP200" s="7"/>
      <c r="BQ200" s="1"/>
      <c r="BR200" s="1"/>
    </row>
    <row r="201" spans="67:70" ht="15.75" customHeight="1" x14ac:dyDescent="0.25">
      <c r="BO201" s="6"/>
      <c r="BP201" s="7"/>
      <c r="BQ201" s="1"/>
      <c r="BR201" s="1"/>
    </row>
    <row r="202" spans="67:70" ht="15.75" customHeight="1" x14ac:dyDescent="0.25">
      <c r="BO202" s="6"/>
      <c r="BP202" s="7"/>
      <c r="BQ202" s="1"/>
      <c r="BR202" s="1"/>
    </row>
    <row r="203" spans="67:70" ht="15.75" customHeight="1" x14ac:dyDescent="0.25">
      <c r="BO203" s="6"/>
      <c r="BP203" s="7"/>
      <c r="BQ203" s="1"/>
      <c r="BR203" s="1"/>
    </row>
    <row r="204" spans="67:70" ht="15.75" customHeight="1" x14ac:dyDescent="0.25">
      <c r="BO204" s="6"/>
      <c r="BP204" s="7"/>
      <c r="BQ204" s="1"/>
      <c r="BR204" s="1"/>
    </row>
    <row r="205" spans="67:70" ht="15.75" customHeight="1" x14ac:dyDescent="0.25">
      <c r="BO205" s="6"/>
      <c r="BP205" s="7"/>
      <c r="BQ205" s="1"/>
      <c r="BR205" s="1"/>
    </row>
    <row r="206" spans="67:70" ht="15.75" customHeight="1" x14ac:dyDescent="0.25">
      <c r="BO206" s="6"/>
      <c r="BP206" s="7"/>
      <c r="BQ206" s="1"/>
      <c r="BR206" s="1"/>
    </row>
    <row r="207" spans="67:70" ht="15.75" customHeight="1" x14ac:dyDescent="0.25">
      <c r="BO207" s="6"/>
      <c r="BP207" s="7"/>
      <c r="BQ207" s="1"/>
      <c r="BR207" s="1"/>
    </row>
    <row r="208" spans="67:70" ht="15.75" customHeight="1" x14ac:dyDescent="0.25">
      <c r="BO208" s="6"/>
      <c r="BP208" s="7"/>
      <c r="BQ208" s="1"/>
      <c r="BR208" s="1"/>
    </row>
    <row r="209" spans="67:70" ht="15.75" customHeight="1" x14ac:dyDescent="0.25">
      <c r="BO209" s="6"/>
      <c r="BP209" s="7"/>
      <c r="BQ209" s="1"/>
      <c r="BR209" s="1"/>
    </row>
    <row r="210" spans="67:70" ht="15.75" customHeight="1" x14ac:dyDescent="0.25">
      <c r="BO210" s="6"/>
      <c r="BP210" s="7"/>
      <c r="BQ210" s="1"/>
      <c r="BR210" s="1"/>
    </row>
    <row r="211" spans="67:70" ht="15.75" customHeight="1" x14ac:dyDescent="0.25">
      <c r="BO211" s="6"/>
      <c r="BP211" s="7"/>
      <c r="BQ211" s="1"/>
      <c r="BR211" s="1"/>
    </row>
    <row r="212" spans="67:70" ht="15.75" customHeight="1" x14ac:dyDescent="0.25">
      <c r="BO212" s="6"/>
      <c r="BP212" s="7"/>
      <c r="BQ212" s="1"/>
      <c r="BR212" s="1"/>
    </row>
    <row r="213" spans="67:70" ht="15.75" customHeight="1" x14ac:dyDescent="0.25">
      <c r="BO213" s="6"/>
      <c r="BP213" s="7"/>
      <c r="BQ213" s="1"/>
      <c r="BR213" s="1"/>
    </row>
    <row r="214" spans="67:70" ht="15.75" customHeight="1" x14ac:dyDescent="0.25">
      <c r="BO214" s="6"/>
      <c r="BP214" s="7"/>
      <c r="BQ214" s="1"/>
      <c r="BR214" s="1"/>
    </row>
    <row r="215" spans="67:70" ht="15.75" customHeight="1" x14ac:dyDescent="0.25">
      <c r="BO215" s="6"/>
      <c r="BP215" s="7"/>
      <c r="BQ215" s="1"/>
      <c r="BR215" s="1"/>
    </row>
    <row r="216" spans="67:70" ht="15.75" customHeight="1" x14ac:dyDescent="0.25">
      <c r="BO216" s="6"/>
      <c r="BP216" s="7"/>
      <c r="BQ216" s="1"/>
      <c r="BR216" s="1"/>
    </row>
    <row r="217" spans="67:70" ht="15.75" customHeight="1" x14ac:dyDescent="0.25">
      <c r="BO217" s="6"/>
      <c r="BP217" s="7"/>
      <c r="BQ217" s="1"/>
      <c r="BR217" s="1"/>
    </row>
    <row r="218" spans="67:70" ht="15.75" customHeight="1" x14ac:dyDescent="0.25">
      <c r="BO218" s="6"/>
      <c r="BP218" s="7"/>
      <c r="BQ218" s="1"/>
      <c r="BR218" s="1"/>
    </row>
    <row r="219" spans="67:70" ht="15.75" customHeight="1" x14ac:dyDescent="0.25">
      <c r="BO219" s="6"/>
      <c r="BP219" s="7"/>
      <c r="BQ219" s="1"/>
      <c r="BR219" s="1"/>
    </row>
    <row r="220" spans="67:70" ht="15.75" customHeight="1" x14ac:dyDescent="0.25">
      <c r="BO220" s="6"/>
      <c r="BP220" s="7"/>
      <c r="BQ220" s="1"/>
      <c r="BR220" s="1"/>
    </row>
    <row r="221" spans="67:70" ht="15.75" customHeight="1" x14ac:dyDescent="0.25">
      <c r="BO221" s="6"/>
      <c r="BP221" s="7"/>
      <c r="BQ221" s="1"/>
      <c r="BR221" s="1"/>
    </row>
    <row r="222" spans="67:70" ht="15.75" customHeight="1" x14ac:dyDescent="0.25">
      <c r="BO222" s="6"/>
      <c r="BP222" s="7"/>
      <c r="BQ222" s="1"/>
      <c r="BR222" s="1"/>
    </row>
    <row r="223" spans="67:70" ht="15.75" customHeight="1" x14ac:dyDescent="0.25">
      <c r="BO223" s="6"/>
      <c r="BP223" s="7"/>
      <c r="BQ223" s="1"/>
      <c r="BR223" s="1"/>
    </row>
    <row r="224" spans="67:70" ht="15.75" customHeight="1" x14ac:dyDescent="0.25">
      <c r="BO224" s="6"/>
      <c r="BP224" s="7"/>
      <c r="BQ224" s="1"/>
      <c r="BR224" s="1"/>
    </row>
    <row r="225" spans="67:70" ht="15.75" customHeight="1" x14ac:dyDescent="0.25">
      <c r="BO225" s="6"/>
      <c r="BP225" s="7"/>
      <c r="BQ225" s="1"/>
      <c r="BR225" s="1"/>
    </row>
    <row r="226" spans="67:70" ht="15.75" customHeight="1" x14ac:dyDescent="0.25">
      <c r="BO226" s="6"/>
      <c r="BP226" s="7"/>
      <c r="BQ226" s="1"/>
      <c r="BR226" s="1"/>
    </row>
    <row r="227" spans="67:70" ht="15.75" customHeight="1" x14ac:dyDescent="0.25">
      <c r="BO227" s="6"/>
      <c r="BP227" s="7"/>
      <c r="BQ227" s="1"/>
      <c r="BR227" s="1"/>
    </row>
    <row r="228" spans="67:70" ht="15.75" customHeight="1" x14ac:dyDescent="0.25">
      <c r="BO228" s="6"/>
      <c r="BP228" s="7"/>
      <c r="BQ228" s="1"/>
      <c r="BR228" s="1"/>
    </row>
    <row r="229" spans="67:70" ht="15.75" customHeight="1" x14ac:dyDescent="0.25">
      <c r="BO229" s="6"/>
      <c r="BP229" s="7"/>
      <c r="BQ229" s="1"/>
      <c r="BR229" s="1"/>
    </row>
    <row r="230" spans="67:70" ht="15.75" customHeight="1" x14ac:dyDescent="0.25">
      <c r="BO230" s="6"/>
      <c r="BP230" s="7"/>
      <c r="BQ230" s="1"/>
      <c r="BR230" s="1"/>
    </row>
    <row r="231" spans="67:70" ht="15.75" customHeight="1" x14ac:dyDescent="0.25">
      <c r="BO231" s="6"/>
      <c r="BP231" s="7"/>
      <c r="BQ231" s="1"/>
      <c r="BR231" s="1"/>
    </row>
    <row r="232" spans="67:70" ht="15.75" customHeight="1" x14ac:dyDescent="0.25">
      <c r="BO232" s="6"/>
      <c r="BP232" s="7"/>
      <c r="BQ232" s="1"/>
      <c r="BR232" s="1"/>
    </row>
    <row r="233" spans="67:70" ht="15.75" customHeight="1" x14ac:dyDescent="0.25">
      <c r="BO233" s="6"/>
      <c r="BP233" s="7"/>
      <c r="BQ233" s="1"/>
      <c r="BR233" s="1"/>
    </row>
    <row r="234" spans="67:70" ht="15.75" customHeight="1" x14ac:dyDescent="0.25">
      <c r="BO234" s="6"/>
      <c r="BP234" s="7"/>
      <c r="BQ234" s="1"/>
      <c r="BR234" s="1"/>
    </row>
    <row r="235" spans="67:70" ht="15.75" customHeight="1" x14ac:dyDescent="0.25">
      <c r="BO235" s="6"/>
      <c r="BP235" s="7"/>
      <c r="BQ235" s="1"/>
      <c r="BR235" s="1"/>
    </row>
    <row r="236" spans="67:70" ht="15.75" customHeight="1" x14ac:dyDescent="0.25">
      <c r="BO236" s="6"/>
      <c r="BP236" s="7"/>
      <c r="BQ236" s="1"/>
      <c r="BR236" s="1"/>
    </row>
    <row r="237" spans="67:70" ht="15.75" customHeight="1" x14ac:dyDescent="0.25">
      <c r="BO237" s="6"/>
      <c r="BP237" s="7"/>
      <c r="BQ237" s="1"/>
      <c r="BR237" s="1"/>
    </row>
    <row r="238" spans="67:70" ht="15.75" customHeight="1" x14ac:dyDescent="0.25">
      <c r="BO238" s="6"/>
      <c r="BP238" s="7"/>
      <c r="BQ238" s="1"/>
      <c r="BR238" s="1"/>
    </row>
    <row r="239" spans="67:70" ht="15.75" customHeight="1" x14ac:dyDescent="0.25">
      <c r="BO239" s="6"/>
      <c r="BP239" s="7"/>
      <c r="BQ239" s="1"/>
      <c r="BR239" s="1"/>
    </row>
    <row r="240" spans="67:70" ht="15.75" customHeight="1" x14ac:dyDescent="0.25">
      <c r="BO240" s="6"/>
      <c r="BP240" s="7"/>
      <c r="BQ240" s="1"/>
      <c r="BR240" s="1"/>
    </row>
    <row r="241" spans="67:70" ht="15.75" customHeight="1" x14ac:dyDescent="0.25">
      <c r="BO241" s="6"/>
      <c r="BP241" s="7"/>
      <c r="BQ241" s="1"/>
      <c r="BR241" s="1"/>
    </row>
    <row r="242" spans="67:70" ht="15.75" customHeight="1" x14ac:dyDescent="0.25">
      <c r="BO242" s="6"/>
      <c r="BP242" s="7"/>
      <c r="BQ242" s="1"/>
      <c r="BR242" s="1"/>
    </row>
    <row r="243" spans="67:70" ht="15.75" customHeight="1" x14ac:dyDescent="0.25">
      <c r="BO243" s="6"/>
      <c r="BP243" s="7"/>
      <c r="BQ243" s="1"/>
      <c r="BR243" s="1"/>
    </row>
    <row r="244" spans="67:70" ht="15.75" customHeight="1" x14ac:dyDescent="0.25">
      <c r="BO244" s="6"/>
      <c r="BP244" s="7"/>
      <c r="BQ244" s="1"/>
      <c r="BR244" s="1"/>
    </row>
    <row r="245" spans="67:70" ht="15.75" customHeight="1" x14ac:dyDescent="0.25">
      <c r="BO245" s="6"/>
      <c r="BP245" s="7"/>
      <c r="BQ245" s="1"/>
      <c r="BR245" s="1"/>
    </row>
    <row r="246" spans="67:70" ht="15.75" customHeight="1" x14ac:dyDescent="0.25">
      <c r="BO246" s="6"/>
      <c r="BP246" s="7"/>
      <c r="BQ246" s="1"/>
      <c r="BR246" s="1"/>
    </row>
    <row r="247" spans="67:70" ht="15.75" customHeight="1" x14ac:dyDescent="0.25">
      <c r="BO247" s="6"/>
      <c r="BP247" s="7"/>
      <c r="BQ247" s="1"/>
      <c r="BR247" s="1"/>
    </row>
    <row r="248" spans="67:70" ht="15.75" customHeight="1" x14ac:dyDescent="0.25">
      <c r="BO248" s="6"/>
      <c r="BP248" s="7"/>
      <c r="BQ248" s="1"/>
      <c r="BR248" s="1"/>
    </row>
    <row r="249" spans="67:70" ht="15.75" customHeight="1" x14ac:dyDescent="0.25">
      <c r="BO249" s="6"/>
      <c r="BP249" s="7"/>
      <c r="BQ249" s="1"/>
      <c r="BR249" s="1"/>
    </row>
    <row r="250" spans="67:70" ht="15.75" customHeight="1" x14ac:dyDescent="0.25">
      <c r="BO250" s="6"/>
      <c r="BP250" s="7"/>
      <c r="BQ250" s="1"/>
      <c r="BR250" s="1"/>
    </row>
    <row r="251" spans="67:70" ht="15.75" customHeight="1" x14ac:dyDescent="0.25">
      <c r="BO251" s="6"/>
      <c r="BP251" s="7"/>
      <c r="BQ251" s="1"/>
      <c r="BR251" s="1"/>
    </row>
    <row r="252" spans="67:70" ht="15.75" customHeight="1" x14ac:dyDescent="0.25">
      <c r="BO252" s="6"/>
      <c r="BP252" s="7"/>
      <c r="BQ252" s="1"/>
      <c r="BR252" s="1"/>
    </row>
    <row r="253" spans="67:70" ht="15.75" customHeight="1" x14ac:dyDescent="0.25">
      <c r="BO253" s="6"/>
      <c r="BP253" s="7"/>
      <c r="BQ253" s="1"/>
      <c r="BR253" s="1"/>
    </row>
    <row r="254" spans="67:70" ht="15.75" customHeight="1" x14ac:dyDescent="0.25">
      <c r="BO254" s="6"/>
      <c r="BP254" s="7"/>
      <c r="BQ254" s="1"/>
      <c r="BR254" s="1"/>
    </row>
    <row r="255" spans="67:70" ht="15.75" customHeight="1" x14ac:dyDescent="0.25">
      <c r="BO255" s="6"/>
      <c r="BP255" s="7"/>
      <c r="BQ255" s="1"/>
      <c r="BR255" s="1"/>
    </row>
    <row r="256" spans="67:70" ht="15.75" customHeight="1" x14ac:dyDescent="0.25">
      <c r="BO256" s="6"/>
      <c r="BP256" s="7"/>
      <c r="BQ256" s="1"/>
      <c r="BR256" s="1"/>
    </row>
    <row r="257" spans="67:70" ht="15.75" customHeight="1" x14ac:dyDescent="0.25">
      <c r="BO257" s="6"/>
      <c r="BP257" s="7"/>
      <c r="BQ257" s="1"/>
      <c r="BR257" s="1"/>
    </row>
    <row r="258" spans="67:70" ht="15.75" customHeight="1" x14ac:dyDescent="0.25">
      <c r="BO258" s="6"/>
      <c r="BP258" s="7"/>
      <c r="BQ258" s="1"/>
      <c r="BR258" s="1"/>
    </row>
    <row r="259" spans="67:70" ht="15.75" customHeight="1" x14ac:dyDescent="0.25">
      <c r="BO259" s="6"/>
      <c r="BP259" s="7"/>
      <c r="BQ259" s="1"/>
      <c r="BR259" s="1"/>
    </row>
    <row r="260" spans="67:70" ht="15.75" customHeight="1" x14ac:dyDescent="0.25">
      <c r="BO260" s="6"/>
      <c r="BP260" s="7"/>
      <c r="BQ260" s="1"/>
      <c r="BR260" s="1"/>
    </row>
    <row r="261" spans="67:70" ht="15.75" customHeight="1" x14ac:dyDescent="0.25">
      <c r="BO261" s="6"/>
      <c r="BP261" s="7"/>
      <c r="BQ261" s="1"/>
      <c r="BR261" s="1"/>
    </row>
    <row r="262" spans="67:70" ht="15.75" customHeight="1" x14ac:dyDescent="0.25">
      <c r="BO262" s="6"/>
      <c r="BP262" s="7"/>
      <c r="BQ262" s="1"/>
      <c r="BR262" s="1"/>
    </row>
    <row r="263" spans="67:70" ht="15.75" customHeight="1" x14ac:dyDescent="0.25">
      <c r="BO263" s="6"/>
      <c r="BP263" s="7"/>
      <c r="BQ263" s="1"/>
      <c r="BR263" s="1"/>
    </row>
    <row r="264" spans="67:70" ht="15.75" customHeight="1" x14ac:dyDescent="0.25">
      <c r="BO264" s="6"/>
      <c r="BP264" s="7"/>
      <c r="BQ264" s="1"/>
      <c r="BR264" s="1"/>
    </row>
    <row r="265" spans="67:70" ht="15.75" customHeight="1" x14ac:dyDescent="0.25">
      <c r="BO265" s="6"/>
      <c r="BP265" s="7"/>
      <c r="BQ265" s="1"/>
      <c r="BR265" s="1"/>
    </row>
    <row r="266" spans="67:70" ht="15.75" customHeight="1" x14ac:dyDescent="0.25">
      <c r="BO266" s="6"/>
      <c r="BP266" s="7"/>
      <c r="BQ266" s="1"/>
      <c r="BR266" s="1"/>
    </row>
    <row r="267" spans="67:70" ht="15.75" customHeight="1" x14ac:dyDescent="0.25">
      <c r="BO267" s="6"/>
      <c r="BP267" s="7"/>
      <c r="BQ267" s="1"/>
      <c r="BR267" s="1"/>
    </row>
    <row r="268" spans="67:70" ht="15.75" customHeight="1" x14ac:dyDescent="0.25">
      <c r="BO268" s="6"/>
      <c r="BP268" s="7"/>
      <c r="BQ268" s="1"/>
      <c r="BR268" s="1"/>
    </row>
    <row r="269" spans="67:70" ht="15.75" customHeight="1" x14ac:dyDescent="0.25">
      <c r="BO269" s="6"/>
      <c r="BP269" s="7"/>
      <c r="BQ269" s="1"/>
      <c r="BR269" s="1"/>
    </row>
    <row r="270" spans="67:70" ht="15.75" customHeight="1" x14ac:dyDescent="0.25">
      <c r="BO270" s="6"/>
      <c r="BP270" s="7"/>
      <c r="BQ270" s="1"/>
      <c r="BR270" s="1"/>
    </row>
    <row r="271" spans="67:70" ht="15.75" customHeight="1" x14ac:dyDescent="0.25">
      <c r="BO271" s="6"/>
      <c r="BP271" s="7"/>
      <c r="BQ271" s="1"/>
      <c r="BR271" s="1"/>
    </row>
    <row r="272" spans="67:70" ht="15.75" customHeight="1" x14ac:dyDescent="0.25">
      <c r="BO272" s="6"/>
      <c r="BP272" s="7"/>
      <c r="BQ272" s="1"/>
      <c r="BR272" s="1"/>
    </row>
    <row r="273" spans="67:70" ht="15.75" customHeight="1" x14ac:dyDescent="0.25">
      <c r="BO273" s="6"/>
      <c r="BP273" s="7"/>
      <c r="BQ273" s="1"/>
      <c r="BR273" s="1"/>
    </row>
    <row r="274" spans="67:70" ht="15.75" customHeight="1" x14ac:dyDescent="0.25">
      <c r="BO274" s="6"/>
      <c r="BP274" s="7"/>
      <c r="BQ274" s="1"/>
      <c r="BR274" s="1"/>
    </row>
    <row r="275" spans="67:70" ht="15.75" customHeight="1" x14ac:dyDescent="0.25">
      <c r="BO275" s="6"/>
      <c r="BP275" s="7"/>
      <c r="BQ275" s="1"/>
      <c r="BR275" s="1"/>
    </row>
    <row r="276" spans="67:70" ht="15.75" customHeight="1" x14ac:dyDescent="0.25">
      <c r="BO276" s="6"/>
      <c r="BP276" s="7"/>
      <c r="BQ276" s="1"/>
      <c r="BR276" s="1"/>
    </row>
    <row r="277" spans="67:70" ht="15.75" customHeight="1" x14ac:dyDescent="0.25">
      <c r="BO277" s="6"/>
      <c r="BP277" s="7"/>
      <c r="BQ277" s="1"/>
      <c r="BR277" s="1"/>
    </row>
    <row r="278" spans="67:70" ht="15.75" customHeight="1" x14ac:dyDescent="0.25">
      <c r="BO278" s="6"/>
      <c r="BP278" s="7"/>
      <c r="BQ278" s="1"/>
      <c r="BR278" s="1"/>
    </row>
    <row r="279" spans="67:70" ht="15.75" customHeight="1" x14ac:dyDescent="0.25">
      <c r="BO279" s="6"/>
      <c r="BP279" s="7"/>
      <c r="BQ279" s="1"/>
      <c r="BR279" s="1"/>
    </row>
    <row r="280" spans="67:70" ht="15.75" customHeight="1" x14ac:dyDescent="0.25">
      <c r="BO280" s="6"/>
      <c r="BP280" s="7"/>
      <c r="BQ280" s="1"/>
      <c r="BR280" s="1"/>
    </row>
    <row r="281" spans="67:70" ht="15.75" customHeight="1" x14ac:dyDescent="0.25">
      <c r="BO281" s="6"/>
      <c r="BP281" s="7"/>
      <c r="BQ281" s="1"/>
      <c r="BR281" s="1"/>
    </row>
    <row r="282" spans="67:70" ht="15.75" customHeight="1" x14ac:dyDescent="0.25">
      <c r="BO282" s="6"/>
      <c r="BP282" s="7"/>
      <c r="BQ282" s="1"/>
      <c r="BR282" s="1"/>
    </row>
    <row r="283" spans="67:70" ht="15.75" customHeight="1" x14ac:dyDescent="0.25">
      <c r="BO283" s="6"/>
      <c r="BP283" s="7"/>
      <c r="BQ283" s="1"/>
      <c r="BR283" s="1"/>
    </row>
    <row r="284" spans="67:70" ht="15.75" customHeight="1" x14ac:dyDescent="0.25">
      <c r="BO284" s="6"/>
      <c r="BP284" s="7"/>
      <c r="BQ284" s="1"/>
      <c r="BR284" s="1"/>
    </row>
    <row r="285" spans="67:70" ht="15.75" customHeight="1" x14ac:dyDescent="0.25">
      <c r="BO285" s="6"/>
      <c r="BP285" s="7"/>
      <c r="BQ285" s="1"/>
      <c r="BR285" s="1"/>
    </row>
    <row r="286" spans="67:70" ht="15.75" customHeight="1" x14ac:dyDescent="0.25">
      <c r="BO286" s="6"/>
      <c r="BP286" s="7"/>
      <c r="BQ286" s="1"/>
      <c r="BR286" s="1"/>
    </row>
    <row r="287" spans="67:70" ht="15.75" customHeight="1" x14ac:dyDescent="0.25">
      <c r="BO287" s="6"/>
      <c r="BP287" s="7"/>
      <c r="BQ287" s="1"/>
      <c r="BR287" s="1"/>
    </row>
    <row r="288" spans="67:70" ht="15.75" customHeight="1" x14ac:dyDescent="0.25">
      <c r="BO288" s="6"/>
      <c r="BP288" s="7"/>
      <c r="BQ288" s="1"/>
      <c r="BR288" s="1"/>
    </row>
    <row r="289" spans="67:70" ht="15.75" customHeight="1" x14ac:dyDescent="0.25">
      <c r="BO289" s="6"/>
      <c r="BP289" s="7"/>
      <c r="BQ289" s="1"/>
      <c r="BR289" s="1"/>
    </row>
    <row r="290" spans="67:70" ht="15.75" customHeight="1" x14ac:dyDescent="0.25">
      <c r="BO290" s="6"/>
      <c r="BP290" s="7"/>
      <c r="BQ290" s="1"/>
      <c r="BR290" s="1"/>
    </row>
    <row r="291" spans="67:70" ht="15.75" customHeight="1" x14ac:dyDescent="0.25">
      <c r="BO291" s="6"/>
      <c r="BP291" s="7"/>
      <c r="BQ291" s="1"/>
      <c r="BR291" s="1"/>
    </row>
    <row r="292" spans="67:70" ht="15.75" customHeight="1" x14ac:dyDescent="0.25">
      <c r="BO292" s="6"/>
      <c r="BP292" s="7"/>
      <c r="BQ292" s="1"/>
      <c r="BR292" s="1"/>
    </row>
    <row r="293" spans="67:70" ht="15.75" customHeight="1" x14ac:dyDescent="0.25">
      <c r="BO293" s="6"/>
      <c r="BP293" s="7"/>
      <c r="BQ293" s="1"/>
      <c r="BR293" s="1"/>
    </row>
    <row r="294" spans="67:70" ht="15.75" customHeight="1" x14ac:dyDescent="0.25">
      <c r="BO294" s="6"/>
      <c r="BP294" s="7"/>
      <c r="BQ294" s="1"/>
      <c r="BR294" s="1"/>
    </row>
    <row r="295" spans="67:70" ht="15.75" customHeight="1" x14ac:dyDescent="0.25">
      <c r="BO295" s="6"/>
      <c r="BP295" s="7"/>
      <c r="BQ295" s="1"/>
      <c r="BR295" s="1"/>
    </row>
    <row r="296" spans="67:70" ht="15.75" customHeight="1" x14ac:dyDescent="0.25">
      <c r="BO296" s="6"/>
      <c r="BP296" s="7"/>
      <c r="BQ296" s="1"/>
      <c r="BR296" s="1"/>
    </row>
    <row r="297" spans="67:70" ht="15.75" customHeight="1" x14ac:dyDescent="0.25">
      <c r="BO297" s="6"/>
      <c r="BP297" s="7"/>
      <c r="BQ297" s="1"/>
      <c r="BR297" s="1"/>
    </row>
    <row r="298" spans="67:70" ht="15.75" customHeight="1" x14ac:dyDescent="0.25">
      <c r="BO298" s="6"/>
      <c r="BP298" s="7"/>
      <c r="BQ298" s="1"/>
      <c r="BR298" s="1"/>
    </row>
    <row r="299" spans="67:70" ht="15.75" customHeight="1" x14ac:dyDescent="0.25">
      <c r="BO299" s="6"/>
      <c r="BP299" s="7"/>
      <c r="BQ299" s="1"/>
      <c r="BR299" s="1"/>
    </row>
    <row r="300" spans="67:70" ht="15.75" customHeight="1" x14ac:dyDescent="0.25">
      <c r="BO300" s="6"/>
      <c r="BP300" s="7"/>
      <c r="BQ300" s="1"/>
      <c r="BR300" s="1"/>
    </row>
    <row r="301" spans="67:70" ht="15.75" customHeight="1" x14ac:dyDescent="0.25">
      <c r="BO301" s="6"/>
      <c r="BP301" s="7"/>
      <c r="BQ301" s="1"/>
      <c r="BR301" s="1"/>
    </row>
    <row r="302" spans="67:70" ht="15.75" customHeight="1" x14ac:dyDescent="0.25">
      <c r="BO302" s="6"/>
      <c r="BP302" s="7"/>
      <c r="BQ302" s="1"/>
      <c r="BR302" s="1"/>
    </row>
    <row r="303" spans="67:70" ht="15.75" customHeight="1" x14ac:dyDescent="0.25">
      <c r="BO303" s="6"/>
      <c r="BP303" s="7"/>
      <c r="BQ303" s="1"/>
      <c r="BR303" s="1"/>
    </row>
    <row r="304" spans="67:70" ht="15.75" customHeight="1" x14ac:dyDescent="0.25">
      <c r="BO304" s="6"/>
      <c r="BP304" s="7"/>
      <c r="BQ304" s="1"/>
      <c r="BR304" s="1"/>
    </row>
    <row r="305" spans="67:70" ht="15.75" customHeight="1" x14ac:dyDescent="0.25">
      <c r="BO305" s="6"/>
      <c r="BP305" s="7"/>
      <c r="BQ305" s="1"/>
      <c r="BR305" s="1"/>
    </row>
    <row r="306" spans="67:70" ht="15.75" customHeight="1" x14ac:dyDescent="0.25">
      <c r="BO306" s="6"/>
      <c r="BP306" s="7"/>
      <c r="BQ306" s="1"/>
      <c r="BR306" s="1"/>
    </row>
    <row r="307" spans="67:70" ht="15.75" customHeight="1" x14ac:dyDescent="0.25">
      <c r="BO307" s="6"/>
      <c r="BP307" s="7"/>
      <c r="BQ307" s="1"/>
      <c r="BR307" s="1"/>
    </row>
    <row r="308" spans="67:70" ht="15.75" customHeight="1" x14ac:dyDescent="0.25">
      <c r="BO308" s="6"/>
      <c r="BP308" s="7"/>
      <c r="BQ308" s="1"/>
      <c r="BR308" s="1"/>
    </row>
    <row r="309" spans="67:70" ht="15.75" customHeight="1" x14ac:dyDescent="0.25">
      <c r="BO309" s="6"/>
      <c r="BP309" s="7"/>
      <c r="BQ309" s="1"/>
      <c r="BR309" s="1"/>
    </row>
    <row r="310" spans="67:70" ht="15.75" customHeight="1" x14ac:dyDescent="0.25">
      <c r="BO310" s="6"/>
      <c r="BP310" s="7"/>
      <c r="BQ310" s="1"/>
      <c r="BR310" s="1"/>
    </row>
    <row r="311" spans="67:70" ht="15.75" customHeight="1" x14ac:dyDescent="0.25">
      <c r="BO311" s="6"/>
      <c r="BP311" s="7"/>
      <c r="BQ311" s="1"/>
      <c r="BR311" s="1"/>
    </row>
    <row r="312" spans="67:70" ht="15.75" customHeight="1" x14ac:dyDescent="0.25">
      <c r="BO312" s="6"/>
      <c r="BP312" s="7"/>
      <c r="BQ312" s="1"/>
      <c r="BR312" s="1"/>
    </row>
    <row r="313" spans="67:70" ht="15.75" customHeight="1" x14ac:dyDescent="0.25">
      <c r="BO313" s="6"/>
      <c r="BP313" s="7"/>
      <c r="BQ313" s="1"/>
      <c r="BR313" s="1"/>
    </row>
    <row r="314" spans="67:70" ht="15.75" customHeight="1" x14ac:dyDescent="0.25">
      <c r="BO314" s="6"/>
      <c r="BP314" s="7"/>
      <c r="BQ314" s="1"/>
      <c r="BR314" s="1"/>
    </row>
    <row r="315" spans="67:70" ht="15.75" customHeight="1" x14ac:dyDescent="0.25">
      <c r="BO315" s="6"/>
      <c r="BP315" s="7"/>
      <c r="BQ315" s="1"/>
      <c r="BR315" s="1"/>
    </row>
    <row r="316" spans="67:70" ht="15.75" customHeight="1" x14ac:dyDescent="0.25">
      <c r="BO316" s="6"/>
      <c r="BP316" s="7"/>
      <c r="BQ316" s="1"/>
      <c r="BR316" s="1"/>
    </row>
    <row r="317" spans="67:70" ht="15.75" customHeight="1" x14ac:dyDescent="0.25">
      <c r="BO317" s="6"/>
      <c r="BP317" s="7"/>
      <c r="BQ317" s="1"/>
      <c r="BR317" s="1"/>
    </row>
    <row r="318" spans="67:70" ht="15.75" customHeight="1" x14ac:dyDescent="0.25">
      <c r="BO318" s="6"/>
      <c r="BP318" s="7"/>
      <c r="BQ318" s="1"/>
      <c r="BR318" s="1"/>
    </row>
    <row r="319" spans="67:70" ht="15.75" customHeight="1" x14ac:dyDescent="0.25">
      <c r="BO319" s="6"/>
      <c r="BP319" s="7"/>
      <c r="BQ319" s="1"/>
      <c r="BR319" s="1"/>
    </row>
    <row r="320" spans="67:70" ht="15.75" customHeight="1" x14ac:dyDescent="0.25">
      <c r="BO320" s="6"/>
      <c r="BP320" s="7"/>
      <c r="BQ320" s="1"/>
      <c r="BR320" s="1"/>
    </row>
    <row r="321" spans="67:70" ht="15.75" customHeight="1" x14ac:dyDescent="0.25">
      <c r="BO321" s="6"/>
      <c r="BP321" s="7"/>
      <c r="BQ321" s="1"/>
      <c r="BR321" s="1"/>
    </row>
    <row r="322" spans="67:70" ht="15.75" customHeight="1" x14ac:dyDescent="0.25">
      <c r="BO322" s="6"/>
      <c r="BP322" s="7"/>
      <c r="BQ322" s="1"/>
      <c r="BR322" s="1"/>
    </row>
    <row r="323" spans="67:70" ht="15.75" customHeight="1" x14ac:dyDescent="0.25">
      <c r="BO323" s="6"/>
      <c r="BP323" s="7"/>
      <c r="BQ323" s="1"/>
      <c r="BR323" s="1"/>
    </row>
    <row r="324" spans="67:70" ht="15.75" customHeight="1" x14ac:dyDescent="0.25">
      <c r="BO324" s="6"/>
      <c r="BP324" s="7"/>
      <c r="BQ324" s="1"/>
      <c r="BR324" s="1"/>
    </row>
    <row r="325" spans="67:70" ht="15.75" customHeight="1" x14ac:dyDescent="0.25">
      <c r="BO325" s="6"/>
      <c r="BP325" s="7"/>
      <c r="BQ325" s="1"/>
      <c r="BR325" s="1"/>
    </row>
    <row r="326" spans="67:70" ht="15.75" customHeight="1" x14ac:dyDescent="0.25">
      <c r="BO326" s="6"/>
      <c r="BP326" s="7"/>
      <c r="BQ326" s="1"/>
      <c r="BR326" s="1"/>
    </row>
    <row r="327" spans="67:70" ht="15.75" customHeight="1" x14ac:dyDescent="0.25">
      <c r="BO327" s="6"/>
      <c r="BP327" s="7"/>
      <c r="BQ327" s="1"/>
      <c r="BR327" s="1"/>
    </row>
    <row r="328" spans="67:70" ht="15.75" customHeight="1" x14ac:dyDescent="0.25">
      <c r="BO328" s="6"/>
      <c r="BP328" s="7"/>
      <c r="BQ328" s="1"/>
      <c r="BR328" s="1"/>
    </row>
    <row r="329" spans="67:70" ht="15.75" customHeight="1" x14ac:dyDescent="0.25">
      <c r="BO329" s="6"/>
      <c r="BP329" s="7"/>
      <c r="BQ329" s="1"/>
      <c r="BR329" s="1"/>
    </row>
    <row r="330" spans="67:70" ht="15.75" customHeight="1" x14ac:dyDescent="0.25">
      <c r="BO330" s="6"/>
      <c r="BP330" s="7"/>
      <c r="BQ330" s="1"/>
      <c r="BR330" s="1"/>
    </row>
    <row r="331" spans="67:70" ht="15.75" customHeight="1" x14ac:dyDescent="0.25">
      <c r="BO331" s="6"/>
      <c r="BP331" s="7"/>
      <c r="BQ331" s="1"/>
      <c r="BR331" s="1"/>
    </row>
    <row r="332" spans="67:70" ht="15.75" customHeight="1" x14ac:dyDescent="0.25">
      <c r="BO332" s="6"/>
      <c r="BP332" s="7"/>
      <c r="BQ332" s="1"/>
      <c r="BR332" s="1"/>
    </row>
    <row r="333" spans="67:70" ht="15.75" customHeight="1" x14ac:dyDescent="0.25">
      <c r="BO333" s="6"/>
      <c r="BP333" s="7"/>
      <c r="BQ333" s="1"/>
      <c r="BR333" s="1"/>
    </row>
    <row r="334" spans="67:70" ht="15.75" customHeight="1" x14ac:dyDescent="0.25">
      <c r="BO334" s="6"/>
      <c r="BP334" s="7"/>
      <c r="BQ334" s="1"/>
      <c r="BR334" s="1"/>
    </row>
    <row r="335" spans="67:70" ht="15.75" customHeight="1" x14ac:dyDescent="0.25">
      <c r="BO335" s="6"/>
      <c r="BP335" s="7"/>
      <c r="BQ335" s="1"/>
      <c r="BR335" s="1"/>
    </row>
    <row r="336" spans="67:70" ht="15.75" customHeight="1" x14ac:dyDescent="0.25">
      <c r="BO336" s="6"/>
      <c r="BP336" s="7"/>
      <c r="BQ336" s="1"/>
      <c r="BR336" s="1"/>
    </row>
    <row r="337" spans="67:70" ht="15.75" customHeight="1" x14ac:dyDescent="0.25">
      <c r="BO337" s="6"/>
      <c r="BP337" s="7"/>
      <c r="BQ337" s="1"/>
      <c r="BR337" s="1"/>
    </row>
    <row r="338" spans="67:70" ht="15.75" customHeight="1" x14ac:dyDescent="0.25">
      <c r="BO338" s="6"/>
      <c r="BP338" s="7"/>
      <c r="BQ338" s="1"/>
      <c r="BR338" s="1"/>
    </row>
    <row r="339" spans="67:70" ht="15.75" customHeight="1" x14ac:dyDescent="0.25">
      <c r="BO339" s="6"/>
      <c r="BP339" s="7"/>
      <c r="BQ339" s="1"/>
      <c r="BR339" s="1"/>
    </row>
    <row r="340" spans="67:70" ht="15.75" customHeight="1" x14ac:dyDescent="0.25">
      <c r="BO340" s="6"/>
      <c r="BP340" s="7"/>
      <c r="BQ340" s="1"/>
      <c r="BR340" s="1"/>
    </row>
    <row r="341" spans="67:70" ht="15.75" customHeight="1" x14ac:dyDescent="0.25">
      <c r="BO341" s="6"/>
      <c r="BP341" s="7"/>
      <c r="BQ341" s="1"/>
      <c r="BR341" s="1"/>
    </row>
    <row r="342" spans="67:70" ht="15.75" customHeight="1" x14ac:dyDescent="0.25">
      <c r="BO342" s="6"/>
      <c r="BP342" s="7"/>
      <c r="BQ342" s="1"/>
      <c r="BR342" s="1"/>
    </row>
    <row r="343" spans="67:70" ht="15.75" customHeight="1" x14ac:dyDescent="0.25">
      <c r="BO343" s="6"/>
      <c r="BP343" s="7"/>
      <c r="BQ343" s="1"/>
      <c r="BR343" s="1"/>
    </row>
    <row r="344" spans="67:70" ht="15.75" customHeight="1" x14ac:dyDescent="0.25">
      <c r="BO344" s="6"/>
      <c r="BP344" s="7"/>
      <c r="BQ344" s="1"/>
      <c r="BR344" s="1"/>
    </row>
    <row r="345" spans="67:70" ht="15.75" customHeight="1" x14ac:dyDescent="0.25">
      <c r="BO345" s="6"/>
      <c r="BP345" s="7"/>
      <c r="BQ345" s="1"/>
      <c r="BR345" s="1"/>
    </row>
    <row r="346" spans="67:70" ht="15.75" customHeight="1" x14ac:dyDescent="0.25">
      <c r="BO346" s="6"/>
      <c r="BP346" s="7"/>
      <c r="BQ346" s="1"/>
      <c r="BR346" s="1"/>
    </row>
    <row r="347" spans="67:70" ht="15.75" customHeight="1" x14ac:dyDescent="0.25">
      <c r="BO347" s="6"/>
      <c r="BP347" s="7"/>
      <c r="BQ347" s="1"/>
      <c r="BR347" s="1"/>
    </row>
    <row r="348" spans="67:70" ht="15.75" customHeight="1" x14ac:dyDescent="0.25">
      <c r="BO348" s="6"/>
      <c r="BP348" s="7"/>
      <c r="BQ348" s="1"/>
      <c r="BR348" s="1"/>
    </row>
    <row r="349" spans="67:70" ht="15.75" customHeight="1" x14ac:dyDescent="0.25">
      <c r="BO349" s="6"/>
      <c r="BP349" s="7"/>
      <c r="BQ349" s="1"/>
      <c r="BR349" s="1"/>
    </row>
    <row r="350" spans="67:70" ht="15.75" customHeight="1" x14ac:dyDescent="0.25">
      <c r="BO350" s="6"/>
      <c r="BP350" s="7"/>
      <c r="BQ350" s="1"/>
      <c r="BR350" s="1"/>
    </row>
    <row r="351" spans="67:70" ht="15.75" customHeight="1" x14ac:dyDescent="0.25">
      <c r="BO351" s="6"/>
      <c r="BP351" s="7"/>
      <c r="BQ351" s="1"/>
      <c r="BR351" s="1"/>
    </row>
    <row r="352" spans="67:70" ht="15.75" customHeight="1" x14ac:dyDescent="0.25">
      <c r="BO352" s="6"/>
      <c r="BP352" s="7"/>
      <c r="BQ352" s="1"/>
      <c r="BR352" s="1"/>
    </row>
    <row r="353" spans="67:70" ht="15.75" customHeight="1" x14ac:dyDescent="0.25">
      <c r="BO353" s="6"/>
      <c r="BP353" s="7"/>
      <c r="BQ353" s="1"/>
      <c r="BR353" s="1"/>
    </row>
    <row r="354" spans="67:70" ht="15.75" customHeight="1" x14ac:dyDescent="0.25">
      <c r="BO354" s="6"/>
      <c r="BP354" s="7"/>
      <c r="BQ354" s="1"/>
      <c r="BR354" s="1"/>
    </row>
    <row r="355" spans="67:70" ht="15.75" customHeight="1" x14ac:dyDescent="0.25">
      <c r="BO355" s="6"/>
      <c r="BP355" s="7"/>
      <c r="BQ355" s="1"/>
      <c r="BR355" s="1"/>
    </row>
    <row r="356" spans="67:70" ht="15.75" customHeight="1" x14ac:dyDescent="0.25">
      <c r="BO356" s="6"/>
      <c r="BP356" s="7"/>
      <c r="BQ356" s="1"/>
      <c r="BR356" s="1"/>
    </row>
    <row r="357" spans="67:70" ht="15.75" customHeight="1" x14ac:dyDescent="0.25">
      <c r="BO357" s="6"/>
      <c r="BP357" s="7"/>
      <c r="BQ357" s="1"/>
      <c r="BR357" s="1"/>
    </row>
    <row r="358" spans="67:70" ht="15.75" customHeight="1" x14ac:dyDescent="0.25">
      <c r="BO358" s="6"/>
      <c r="BP358" s="7"/>
      <c r="BQ358" s="1"/>
      <c r="BR358" s="1"/>
    </row>
    <row r="359" spans="67:70" ht="15.75" customHeight="1" x14ac:dyDescent="0.25">
      <c r="BO359" s="6"/>
      <c r="BP359" s="7"/>
      <c r="BQ359" s="1"/>
      <c r="BR359" s="1"/>
    </row>
    <row r="360" spans="67:70" ht="15.75" customHeight="1" x14ac:dyDescent="0.25">
      <c r="BO360" s="6"/>
      <c r="BP360" s="7"/>
      <c r="BQ360" s="1"/>
      <c r="BR360" s="1"/>
    </row>
    <row r="361" spans="67:70" ht="15.75" customHeight="1" x14ac:dyDescent="0.25">
      <c r="BO361" s="6"/>
      <c r="BP361" s="7"/>
      <c r="BQ361" s="1"/>
      <c r="BR361" s="1"/>
    </row>
    <row r="362" spans="67:70" ht="15.75" customHeight="1" x14ac:dyDescent="0.25">
      <c r="BO362" s="6"/>
      <c r="BP362" s="7"/>
      <c r="BQ362" s="1"/>
      <c r="BR362" s="1"/>
    </row>
    <row r="363" spans="67:70" ht="15.75" customHeight="1" x14ac:dyDescent="0.25">
      <c r="BO363" s="6"/>
      <c r="BP363" s="7"/>
      <c r="BQ363" s="1"/>
      <c r="BR363" s="1"/>
    </row>
    <row r="364" spans="67:70" ht="15.75" customHeight="1" x14ac:dyDescent="0.25">
      <c r="BO364" s="6"/>
      <c r="BP364" s="7"/>
      <c r="BQ364" s="1"/>
      <c r="BR364" s="1"/>
    </row>
    <row r="365" spans="67:70" ht="15.75" customHeight="1" x14ac:dyDescent="0.25">
      <c r="BO365" s="6"/>
      <c r="BP365" s="7"/>
      <c r="BQ365" s="1"/>
      <c r="BR365" s="1"/>
    </row>
    <row r="366" spans="67:70" ht="15.75" customHeight="1" x14ac:dyDescent="0.25">
      <c r="BO366" s="6"/>
      <c r="BP366" s="7"/>
      <c r="BQ366" s="1"/>
      <c r="BR366" s="1"/>
    </row>
    <row r="367" spans="67:70" ht="15.75" customHeight="1" x14ac:dyDescent="0.25">
      <c r="BO367" s="6"/>
      <c r="BP367" s="7"/>
      <c r="BQ367" s="1"/>
      <c r="BR367" s="1"/>
    </row>
    <row r="368" spans="67:70" ht="15.75" customHeight="1" x14ac:dyDescent="0.25">
      <c r="BO368" s="6"/>
      <c r="BP368" s="7"/>
      <c r="BQ368" s="1"/>
      <c r="BR368" s="1"/>
    </row>
    <row r="369" spans="67:70" ht="15.75" customHeight="1" x14ac:dyDescent="0.25">
      <c r="BO369" s="6"/>
      <c r="BP369" s="7"/>
      <c r="BQ369" s="1"/>
      <c r="BR369" s="1"/>
    </row>
    <row r="370" spans="67:70" ht="15.75" customHeight="1" x14ac:dyDescent="0.25">
      <c r="BO370" s="6"/>
      <c r="BP370" s="7"/>
      <c r="BQ370" s="1"/>
      <c r="BR370" s="1"/>
    </row>
    <row r="371" spans="67:70" ht="15.75" customHeight="1" x14ac:dyDescent="0.25">
      <c r="BO371" s="6"/>
      <c r="BP371" s="7"/>
      <c r="BQ371" s="1"/>
      <c r="BR371" s="1"/>
    </row>
    <row r="372" spans="67:70" ht="15.75" customHeight="1" x14ac:dyDescent="0.25">
      <c r="BO372" s="6"/>
      <c r="BP372" s="7"/>
      <c r="BQ372" s="1"/>
      <c r="BR372" s="1"/>
    </row>
    <row r="373" spans="67:70" ht="15.75" customHeight="1" x14ac:dyDescent="0.25">
      <c r="BO373" s="6"/>
      <c r="BP373" s="7"/>
      <c r="BQ373" s="1"/>
      <c r="BR373" s="1"/>
    </row>
    <row r="374" spans="67:70" ht="15.75" customHeight="1" x14ac:dyDescent="0.25">
      <c r="BO374" s="6"/>
      <c r="BP374" s="7"/>
      <c r="BQ374" s="1"/>
      <c r="BR374" s="1"/>
    </row>
    <row r="375" spans="67:70" ht="15.75" customHeight="1" x14ac:dyDescent="0.25">
      <c r="BO375" s="6"/>
      <c r="BP375" s="7"/>
      <c r="BQ375" s="1"/>
      <c r="BR375" s="1"/>
    </row>
    <row r="376" spans="67:70" ht="15.75" customHeight="1" x14ac:dyDescent="0.25">
      <c r="BO376" s="6"/>
      <c r="BP376" s="7"/>
      <c r="BQ376" s="1"/>
      <c r="BR376" s="1"/>
    </row>
    <row r="377" spans="67:70" ht="15.75" customHeight="1" x14ac:dyDescent="0.25">
      <c r="BO377" s="6"/>
      <c r="BP377" s="7"/>
      <c r="BQ377" s="1"/>
      <c r="BR377" s="1"/>
    </row>
    <row r="378" spans="67:70" ht="15.75" customHeight="1" x14ac:dyDescent="0.25">
      <c r="BO378" s="6"/>
      <c r="BP378" s="7"/>
      <c r="BQ378" s="1"/>
      <c r="BR378" s="1"/>
    </row>
    <row r="379" spans="67:70" ht="15.75" customHeight="1" x14ac:dyDescent="0.25">
      <c r="BO379" s="6"/>
      <c r="BP379" s="7"/>
      <c r="BQ379" s="1"/>
      <c r="BR379" s="1"/>
    </row>
    <row r="380" spans="67:70" ht="15.75" customHeight="1" x14ac:dyDescent="0.25">
      <c r="BO380" s="6"/>
      <c r="BP380" s="7"/>
      <c r="BQ380" s="1"/>
      <c r="BR380" s="1"/>
    </row>
    <row r="381" spans="67:70" ht="15.75" customHeight="1" x14ac:dyDescent="0.25">
      <c r="BO381" s="6"/>
      <c r="BP381" s="7"/>
      <c r="BQ381" s="1"/>
      <c r="BR381" s="1"/>
    </row>
    <row r="382" spans="67:70" ht="15.75" customHeight="1" x14ac:dyDescent="0.25">
      <c r="BO382" s="6"/>
      <c r="BP382" s="7"/>
      <c r="BQ382" s="1"/>
      <c r="BR382" s="1"/>
    </row>
    <row r="383" spans="67:70" ht="15.75" customHeight="1" x14ac:dyDescent="0.25">
      <c r="BO383" s="6"/>
      <c r="BP383" s="7"/>
      <c r="BQ383" s="1"/>
      <c r="BR383" s="1"/>
    </row>
    <row r="384" spans="67:70" ht="15.75" customHeight="1" x14ac:dyDescent="0.25">
      <c r="BO384" s="6"/>
      <c r="BP384" s="7"/>
      <c r="BQ384" s="1"/>
      <c r="BR384" s="1"/>
    </row>
    <row r="385" spans="67:70" ht="15.75" customHeight="1" x14ac:dyDescent="0.25">
      <c r="BO385" s="6"/>
      <c r="BP385" s="7"/>
      <c r="BQ385" s="1"/>
      <c r="BR385" s="1"/>
    </row>
    <row r="386" spans="67:70" ht="15.75" customHeight="1" x14ac:dyDescent="0.25">
      <c r="BO386" s="6"/>
      <c r="BP386" s="7"/>
      <c r="BQ386" s="1"/>
      <c r="BR386" s="1"/>
    </row>
    <row r="387" spans="67:70" ht="15.75" customHeight="1" x14ac:dyDescent="0.25">
      <c r="BO387" s="6"/>
      <c r="BP387" s="7"/>
      <c r="BQ387" s="1"/>
      <c r="BR387" s="1"/>
    </row>
    <row r="388" spans="67:70" ht="15.75" customHeight="1" x14ac:dyDescent="0.25">
      <c r="BO388" s="6"/>
      <c r="BP388" s="7"/>
      <c r="BQ388" s="1"/>
      <c r="BR388" s="1"/>
    </row>
    <row r="389" spans="67:70" ht="15.75" customHeight="1" x14ac:dyDescent="0.25">
      <c r="BO389" s="6"/>
      <c r="BP389" s="7"/>
      <c r="BQ389" s="1"/>
      <c r="BR389" s="1"/>
    </row>
    <row r="390" spans="67:70" ht="15.75" customHeight="1" x14ac:dyDescent="0.25">
      <c r="BO390" s="6"/>
      <c r="BP390" s="7"/>
      <c r="BQ390" s="1"/>
      <c r="BR390" s="1"/>
    </row>
    <row r="391" spans="67:70" ht="15.75" customHeight="1" x14ac:dyDescent="0.25">
      <c r="BO391" s="6"/>
      <c r="BP391" s="7"/>
      <c r="BQ391" s="1"/>
      <c r="BR391" s="1"/>
    </row>
    <row r="392" spans="67:70" ht="15.75" customHeight="1" x14ac:dyDescent="0.25">
      <c r="BO392" s="6"/>
      <c r="BP392" s="7"/>
      <c r="BQ392" s="1"/>
      <c r="BR392" s="1"/>
    </row>
    <row r="393" spans="67:70" ht="15.75" customHeight="1" x14ac:dyDescent="0.25">
      <c r="BO393" s="6"/>
      <c r="BP393" s="7"/>
      <c r="BQ393" s="1"/>
      <c r="BR393" s="1"/>
    </row>
    <row r="394" spans="67:70" ht="15.75" customHeight="1" x14ac:dyDescent="0.25">
      <c r="BO394" s="6"/>
      <c r="BP394" s="7"/>
      <c r="BQ394" s="1"/>
      <c r="BR394" s="1"/>
    </row>
    <row r="395" spans="67:70" ht="15.75" customHeight="1" x14ac:dyDescent="0.25">
      <c r="BO395" s="6"/>
      <c r="BP395" s="7"/>
      <c r="BQ395" s="1"/>
      <c r="BR395" s="1"/>
    </row>
    <row r="396" spans="67:70" ht="15.75" customHeight="1" x14ac:dyDescent="0.25">
      <c r="BO396" s="6"/>
      <c r="BP396" s="7"/>
      <c r="BQ396" s="1"/>
      <c r="BR396" s="1"/>
    </row>
    <row r="397" spans="67:70" ht="15.75" customHeight="1" x14ac:dyDescent="0.25">
      <c r="BO397" s="6"/>
      <c r="BP397" s="7"/>
      <c r="BQ397" s="1"/>
      <c r="BR397" s="1"/>
    </row>
    <row r="398" spans="67:70" ht="15.75" customHeight="1" x14ac:dyDescent="0.25">
      <c r="BO398" s="6"/>
      <c r="BP398" s="7"/>
      <c r="BQ398" s="1"/>
      <c r="BR398" s="1"/>
    </row>
    <row r="399" spans="67:70" ht="15.75" customHeight="1" x14ac:dyDescent="0.25">
      <c r="BO399" s="6"/>
      <c r="BP399" s="7"/>
      <c r="BQ399" s="1"/>
      <c r="BR399" s="1"/>
    </row>
    <row r="400" spans="67:70" ht="15.75" customHeight="1" x14ac:dyDescent="0.25">
      <c r="BO400" s="6"/>
      <c r="BP400" s="7"/>
      <c r="BQ400" s="1"/>
      <c r="BR400" s="1"/>
    </row>
    <row r="401" spans="67:70" ht="15.75" customHeight="1" x14ac:dyDescent="0.25">
      <c r="BO401" s="6"/>
      <c r="BP401" s="7"/>
      <c r="BQ401" s="1"/>
      <c r="BR401" s="1"/>
    </row>
    <row r="402" spans="67:70" ht="15.75" customHeight="1" x14ac:dyDescent="0.25">
      <c r="BO402" s="6"/>
      <c r="BP402" s="7"/>
      <c r="BQ402" s="1"/>
      <c r="BR402" s="1"/>
    </row>
    <row r="403" spans="67:70" ht="15.75" customHeight="1" x14ac:dyDescent="0.25">
      <c r="BO403" s="6"/>
      <c r="BP403" s="7"/>
      <c r="BQ403" s="1"/>
      <c r="BR403" s="1"/>
    </row>
    <row r="404" spans="67:70" ht="15.75" customHeight="1" x14ac:dyDescent="0.25">
      <c r="BO404" s="6"/>
      <c r="BP404" s="7"/>
      <c r="BQ404" s="1"/>
      <c r="BR404" s="1"/>
    </row>
    <row r="405" spans="67:70" ht="15.75" customHeight="1" x14ac:dyDescent="0.25">
      <c r="BO405" s="6"/>
      <c r="BP405" s="7"/>
      <c r="BQ405" s="1"/>
      <c r="BR405" s="1"/>
    </row>
    <row r="406" spans="67:70" ht="15.75" customHeight="1" x14ac:dyDescent="0.25">
      <c r="BO406" s="6"/>
      <c r="BP406" s="7"/>
      <c r="BQ406" s="1"/>
      <c r="BR406" s="1"/>
    </row>
    <row r="407" spans="67:70" ht="15.75" customHeight="1" x14ac:dyDescent="0.25">
      <c r="BO407" s="6"/>
      <c r="BP407" s="7"/>
      <c r="BQ407" s="1"/>
      <c r="BR407" s="1"/>
    </row>
    <row r="408" spans="67:70" ht="15.75" customHeight="1" x14ac:dyDescent="0.25">
      <c r="BO408" s="6"/>
      <c r="BP408" s="7"/>
      <c r="BQ408" s="1"/>
      <c r="BR408" s="1"/>
    </row>
    <row r="409" spans="67:70" ht="15.75" customHeight="1" x14ac:dyDescent="0.25">
      <c r="BO409" s="6"/>
      <c r="BP409" s="7"/>
      <c r="BQ409" s="1"/>
      <c r="BR409" s="1"/>
    </row>
    <row r="410" spans="67:70" ht="15.75" customHeight="1" x14ac:dyDescent="0.25">
      <c r="BO410" s="6"/>
      <c r="BP410" s="7"/>
      <c r="BQ410" s="1"/>
      <c r="BR410" s="1"/>
    </row>
    <row r="411" spans="67:70" ht="15.75" customHeight="1" x14ac:dyDescent="0.25">
      <c r="BO411" s="6"/>
      <c r="BP411" s="7"/>
      <c r="BQ411" s="1"/>
      <c r="BR411" s="1"/>
    </row>
    <row r="412" spans="67:70" ht="15.75" customHeight="1" x14ac:dyDescent="0.25">
      <c r="BO412" s="6"/>
      <c r="BP412" s="7"/>
      <c r="BQ412" s="1"/>
      <c r="BR412" s="1"/>
    </row>
    <row r="413" spans="67:70" ht="15.75" customHeight="1" x14ac:dyDescent="0.25">
      <c r="BO413" s="6"/>
      <c r="BP413" s="7"/>
      <c r="BQ413" s="1"/>
      <c r="BR413" s="1"/>
    </row>
    <row r="414" spans="67:70" ht="15.75" customHeight="1" x14ac:dyDescent="0.25">
      <c r="BO414" s="6"/>
      <c r="BP414" s="7"/>
      <c r="BQ414" s="1"/>
      <c r="BR414" s="1"/>
    </row>
    <row r="415" spans="67:70" ht="15.75" customHeight="1" x14ac:dyDescent="0.25">
      <c r="BO415" s="6"/>
      <c r="BP415" s="7"/>
      <c r="BQ415" s="1"/>
      <c r="BR415" s="1"/>
    </row>
    <row r="416" spans="67:70" ht="15.75" customHeight="1" x14ac:dyDescent="0.25">
      <c r="BO416" s="6"/>
      <c r="BP416" s="7"/>
      <c r="BQ416" s="1"/>
      <c r="BR416" s="1"/>
    </row>
    <row r="417" spans="67:70" ht="15.75" customHeight="1" x14ac:dyDescent="0.25">
      <c r="BO417" s="6"/>
      <c r="BP417" s="7"/>
      <c r="BQ417" s="1"/>
      <c r="BR417" s="1"/>
    </row>
    <row r="418" spans="67:70" ht="15.75" customHeight="1" x14ac:dyDescent="0.25">
      <c r="BO418" s="6"/>
      <c r="BP418" s="7"/>
      <c r="BQ418" s="1"/>
      <c r="BR418" s="1"/>
    </row>
    <row r="419" spans="67:70" ht="15.75" customHeight="1" x14ac:dyDescent="0.25">
      <c r="BO419" s="6"/>
      <c r="BP419" s="7"/>
      <c r="BQ419" s="1"/>
      <c r="BR419" s="1"/>
    </row>
    <row r="420" spans="67:70" ht="15.75" customHeight="1" x14ac:dyDescent="0.25">
      <c r="BO420" s="6"/>
      <c r="BP420" s="7"/>
      <c r="BQ420" s="1"/>
      <c r="BR420" s="1"/>
    </row>
    <row r="421" spans="67:70" ht="15.75" customHeight="1" x14ac:dyDescent="0.25">
      <c r="BO421" s="6"/>
      <c r="BP421" s="7"/>
      <c r="BQ421" s="1"/>
      <c r="BR421" s="1"/>
    </row>
    <row r="422" spans="67:70" ht="15.75" customHeight="1" x14ac:dyDescent="0.25">
      <c r="BO422" s="6"/>
      <c r="BP422" s="7"/>
      <c r="BQ422" s="1"/>
      <c r="BR422" s="1"/>
    </row>
    <row r="423" spans="67:70" ht="15.75" customHeight="1" x14ac:dyDescent="0.25">
      <c r="BO423" s="6"/>
      <c r="BP423" s="7"/>
      <c r="BQ423" s="1"/>
      <c r="BR423" s="1"/>
    </row>
    <row r="424" spans="67:70" ht="15.75" customHeight="1" x14ac:dyDescent="0.25">
      <c r="BO424" s="6"/>
      <c r="BP424" s="7"/>
      <c r="BQ424" s="1"/>
      <c r="BR424" s="1"/>
    </row>
    <row r="425" spans="67:70" ht="15.75" customHeight="1" x14ac:dyDescent="0.25">
      <c r="BO425" s="6"/>
      <c r="BP425" s="7"/>
      <c r="BQ425" s="1"/>
      <c r="BR425" s="1"/>
    </row>
    <row r="426" spans="67:70" ht="15.75" customHeight="1" x14ac:dyDescent="0.25">
      <c r="BO426" s="6"/>
      <c r="BP426" s="7"/>
      <c r="BQ426" s="1"/>
      <c r="BR426" s="1"/>
    </row>
    <row r="427" spans="67:70" ht="15.75" customHeight="1" x14ac:dyDescent="0.25">
      <c r="BO427" s="6"/>
      <c r="BP427" s="7"/>
      <c r="BQ427" s="1"/>
      <c r="BR427" s="1"/>
    </row>
    <row r="428" spans="67:70" ht="15.75" customHeight="1" x14ac:dyDescent="0.25">
      <c r="BO428" s="6"/>
      <c r="BP428" s="7"/>
      <c r="BQ428" s="1"/>
      <c r="BR428" s="1"/>
    </row>
    <row r="429" spans="67:70" ht="15.75" customHeight="1" x14ac:dyDescent="0.25">
      <c r="BO429" s="6"/>
      <c r="BP429" s="7"/>
      <c r="BQ429" s="1"/>
      <c r="BR429" s="1"/>
    </row>
    <row r="430" spans="67:70" ht="15.75" customHeight="1" x14ac:dyDescent="0.25">
      <c r="BO430" s="6"/>
      <c r="BP430" s="7"/>
      <c r="BQ430" s="1"/>
      <c r="BR430" s="1"/>
    </row>
    <row r="431" spans="67:70" ht="15.75" customHeight="1" x14ac:dyDescent="0.25">
      <c r="BO431" s="6"/>
      <c r="BP431" s="7"/>
      <c r="BQ431" s="1"/>
      <c r="BR431" s="1"/>
    </row>
    <row r="432" spans="67:70" ht="15.75" customHeight="1" x14ac:dyDescent="0.25">
      <c r="BO432" s="6"/>
      <c r="BP432" s="7"/>
      <c r="BQ432" s="1"/>
      <c r="BR432" s="1"/>
    </row>
    <row r="433" spans="67:70" ht="15.75" customHeight="1" x14ac:dyDescent="0.25">
      <c r="BO433" s="6"/>
      <c r="BP433" s="7"/>
      <c r="BQ433" s="1"/>
      <c r="BR433" s="1"/>
    </row>
    <row r="434" spans="67:70" ht="15.75" customHeight="1" x14ac:dyDescent="0.25">
      <c r="BO434" s="6"/>
      <c r="BP434" s="7"/>
      <c r="BQ434" s="1"/>
      <c r="BR434" s="1"/>
    </row>
    <row r="435" spans="67:70" ht="15.75" customHeight="1" x14ac:dyDescent="0.25">
      <c r="BO435" s="6"/>
      <c r="BP435" s="7"/>
      <c r="BQ435" s="1"/>
      <c r="BR435" s="1"/>
    </row>
    <row r="436" spans="67:70" ht="15.75" customHeight="1" x14ac:dyDescent="0.25">
      <c r="BO436" s="6"/>
      <c r="BP436" s="7"/>
      <c r="BQ436" s="1"/>
      <c r="BR436" s="1"/>
    </row>
    <row r="437" spans="67:70" ht="15.75" customHeight="1" x14ac:dyDescent="0.25">
      <c r="BO437" s="6"/>
      <c r="BP437" s="7"/>
      <c r="BQ437" s="1"/>
      <c r="BR437" s="1"/>
    </row>
    <row r="438" spans="67:70" ht="15.75" customHeight="1" x14ac:dyDescent="0.25">
      <c r="BO438" s="6"/>
      <c r="BP438" s="7"/>
      <c r="BQ438" s="1"/>
      <c r="BR438" s="1"/>
    </row>
    <row r="439" spans="67:70" ht="15.75" customHeight="1" x14ac:dyDescent="0.25">
      <c r="BO439" s="6"/>
      <c r="BP439" s="7"/>
      <c r="BQ439" s="1"/>
      <c r="BR439" s="1"/>
    </row>
    <row r="440" spans="67:70" ht="15.75" customHeight="1" x14ac:dyDescent="0.25">
      <c r="BO440" s="6"/>
      <c r="BP440" s="7"/>
      <c r="BQ440" s="1"/>
      <c r="BR440" s="1"/>
    </row>
    <row r="441" spans="67:70" ht="15.75" customHeight="1" x14ac:dyDescent="0.25">
      <c r="BO441" s="6"/>
      <c r="BP441" s="7"/>
      <c r="BQ441" s="1"/>
      <c r="BR441" s="1"/>
    </row>
    <row r="442" spans="67:70" ht="15.75" customHeight="1" x14ac:dyDescent="0.25">
      <c r="BO442" s="6"/>
      <c r="BP442" s="7"/>
      <c r="BQ442" s="1"/>
      <c r="BR442" s="1"/>
    </row>
    <row r="443" spans="67:70" ht="15.75" customHeight="1" x14ac:dyDescent="0.25">
      <c r="BO443" s="6"/>
      <c r="BP443" s="7"/>
      <c r="BQ443" s="1"/>
      <c r="BR443" s="1"/>
    </row>
    <row r="444" spans="67:70" ht="15.75" customHeight="1" x14ac:dyDescent="0.25">
      <c r="BO444" s="6"/>
      <c r="BP444" s="7"/>
      <c r="BQ444" s="1"/>
      <c r="BR444" s="1"/>
    </row>
    <row r="445" spans="67:70" ht="15.75" customHeight="1" x14ac:dyDescent="0.25">
      <c r="BO445" s="6"/>
      <c r="BP445" s="7"/>
      <c r="BQ445" s="1"/>
      <c r="BR445" s="1"/>
    </row>
    <row r="446" spans="67:70" ht="15.75" customHeight="1" x14ac:dyDescent="0.25">
      <c r="BO446" s="6"/>
      <c r="BP446" s="7"/>
      <c r="BQ446" s="1"/>
      <c r="BR446" s="1"/>
    </row>
    <row r="447" spans="67:70" ht="15.75" customHeight="1" x14ac:dyDescent="0.25">
      <c r="BO447" s="6"/>
      <c r="BP447" s="7"/>
      <c r="BQ447" s="1"/>
      <c r="BR447" s="1"/>
    </row>
    <row r="448" spans="67:70" ht="15.75" customHeight="1" x14ac:dyDescent="0.25">
      <c r="BO448" s="6"/>
      <c r="BP448" s="7"/>
      <c r="BQ448" s="1"/>
      <c r="BR448" s="1"/>
    </row>
    <row r="449" spans="67:70" ht="15.75" customHeight="1" x14ac:dyDescent="0.25">
      <c r="BO449" s="6"/>
      <c r="BP449" s="7"/>
      <c r="BQ449" s="1"/>
      <c r="BR449" s="1"/>
    </row>
    <row r="450" spans="67:70" ht="15.75" customHeight="1" x14ac:dyDescent="0.25">
      <c r="BO450" s="6"/>
      <c r="BP450" s="7"/>
      <c r="BQ450" s="1"/>
      <c r="BR450" s="1"/>
    </row>
    <row r="451" spans="67:70" ht="15.75" customHeight="1" x14ac:dyDescent="0.25">
      <c r="BO451" s="6"/>
      <c r="BP451" s="7"/>
      <c r="BQ451" s="1"/>
      <c r="BR451" s="1"/>
    </row>
    <row r="452" spans="67:70" ht="15.75" customHeight="1" x14ac:dyDescent="0.25">
      <c r="BO452" s="6"/>
      <c r="BP452" s="7"/>
      <c r="BQ452" s="1"/>
      <c r="BR452" s="1"/>
    </row>
    <row r="453" spans="67:70" ht="15.75" customHeight="1" x14ac:dyDescent="0.25">
      <c r="BO453" s="6"/>
      <c r="BP453" s="7"/>
      <c r="BQ453" s="1"/>
      <c r="BR453" s="1"/>
    </row>
    <row r="454" spans="67:70" ht="15.75" customHeight="1" x14ac:dyDescent="0.25">
      <c r="BO454" s="6"/>
      <c r="BP454" s="7"/>
      <c r="BQ454" s="1"/>
      <c r="BR454" s="1"/>
    </row>
    <row r="455" spans="67:70" ht="15.75" customHeight="1" x14ac:dyDescent="0.25">
      <c r="BO455" s="6"/>
      <c r="BP455" s="7"/>
      <c r="BQ455" s="1"/>
      <c r="BR455" s="1"/>
    </row>
    <row r="456" spans="67:70" ht="15.75" customHeight="1" x14ac:dyDescent="0.25">
      <c r="BO456" s="6"/>
      <c r="BP456" s="7"/>
      <c r="BQ456" s="1"/>
      <c r="BR456" s="1"/>
    </row>
    <row r="457" spans="67:70" ht="15.75" customHeight="1" x14ac:dyDescent="0.25">
      <c r="BO457" s="6"/>
      <c r="BP457" s="7"/>
      <c r="BQ457" s="1"/>
      <c r="BR457" s="1"/>
    </row>
    <row r="458" spans="67:70" ht="15.75" customHeight="1" x14ac:dyDescent="0.25">
      <c r="BO458" s="6"/>
      <c r="BP458" s="7"/>
      <c r="BQ458" s="1"/>
      <c r="BR458" s="1"/>
    </row>
    <row r="459" spans="67:70" ht="15.75" customHeight="1" x14ac:dyDescent="0.25">
      <c r="BO459" s="6"/>
      <c r="BP459" s="7"/>
      <c r="BQ459" s="1"/>
      <c r="BR459" s="1"/>
    </row>
    <row r="460" spans="67:70" ht="15.75" customHeight="1" x14ac:dyDescent="0.25">
      <c r="BO460" s="6"/>
      <c r="BP460" s="7"/>
      <c r="BQ460" s="1"/>
      <c r="BR460" s="1"/>
    </row>
    <row r="461" spans="67:70" ht="15.75" customHeight="1" x14ac:dyDescent="0.25">
      <c r="BO461" s="6"/>
      <c r="BP461" s="7"/>
      <c r="BQ461" s="1"/>
      <c r="BR461" s="1"/>
    </row>
    <row r="462" spans="67:70" ht="15.75" customHeight="1" x14ac:dyDescent="0.25">
      <c r="BO462" s="6"/>
      <c r="BP462" s="7"/>
      <c r="BQ462" s="1"/>
      <c r="BR462" s="1"/>
    </row>
    <row r="463" spans="67:70" ht="15.75" customHeight="1" x14ac:dyDescent="0.25">
      <c r="BO463" s="6"/>
      <c r="BP463" s="7"/>
      <c r="BQ463" s="1"/>
      <c r="BR463" s="1"/>
    </row>
    <row r="464" spans="67:70" ht="15.75" customHeight="1" x14ac:dyDescent="0.25">
      <c r="BO464" s="6"/>
      <c r="BP464" s="7"/>
      <c r="BQ464" s="1"/>
      <c r="BR464" s="1"/>
    </row>
    <row r="465" spans="67:70" ht="15.75" customHeight="1" x14ac:dyDescent="0.25">
      <c r="BO465" s="6"/>
      <c r="BP465" s="7"/>
      <c r="BQ465" s="1"/>
      <c r="BR465" s="1"/>
    </row>
    <row r="466" spans="67:70" ht="15.75" customHeight="1" x14ac:dyDescent="0.25">
      <c r="BO466" s="6"/>
      <c r="BP466" s="7"/>
      <c r="BQ466" s="1"/>
      <c r="BR466" s="1"/>
    </row>
    <row r="467" spans="67:70" ht="15.75" customHeight="1" x14ac:dyDescent="0.25">
      <c r="BO467" s="6"/>
      <c r="BP467" s="7"/>
      <c r="BQ467" s="1"/>
      <c r="BR467" s="1"/>
    </row>
    <row r="468" spans="67:70" ht="15.75" customHeight="1" x14ac:dyDescent="0.25">
      <c r="BO468" s="6"/>
      <c r="BP468" s="7"/>
      <c r="BQ468" s="1"/>
      <c r="BR468" s="1"/>
    </row>
    <row r="469" spans="67:70" ht="15.75" customHeight="1" x14ac:dyDescent="0.25">
      <c r="BO469" s="6"/>
      <c r="BP469" s="7"/>
      <c r="BQ469" s="1"/>
      <c r="BR469" s="1"/>
    </row>
    <row r="470" spans="67:70" ht="15.75" customHeight="1" x14ac:dyDescent="0.25">
      <c r="BO470" s="6"/>
      <c r="BP470" s="7"/>
      <c r="BQ470" s="1"/>
      <c r="BR470" s="1"/>
    </row>
    <row r="471" spans="67:70" ht="15.75" customHeight="1" x14ac:dyDescent="0.25">
      <c r="BO471" s="6"/>
      <c r="BP471" s="7"/>
      <c r="BQ471" s="1"/>
      <c r="BR471" s="1"/>
    </row>
    <row r="472" spans="67:70" ht="15.75" customHeight="1" x14ac:dyDescent="0.25">
      <c r="BO472" s="6"/>
      <c r="BP472" s="7"/>
      <c r="BQ472" s="1"/>
      <c r="BR472" s="1"/>
    </row>
    <row r="473" spans="67:70" ht="15.75" customHeight="1" x14ac:dyDescent="0.25">
      <c r="BO473" s="6"/>
      <c r="BP473" s="7"/>
      <c r="BQ473" s="1"/>
      <c r="BR473" s="1"/>
    </row>
    <row r="474" spans="67:70" ht="15.75" customHeight="1" x14ac:dyDescent="0.25">
      <c r="BO474" s="6"/>
      <c r="BP474" s="7"/>
      <c r="BQ474" s="1"/>
      <c r="BR474" s="1"/>
    </row>
    <row r="475" spans="67:70" ht="15.75" customHeight="1" x14ac:dyDescent="0.25">
      <c r="BO475" s="6"/>
      <c r="BP475" s="7"/>
      <c r="BQ475" s="1"/>
      <c r="BR475" s="1"/>
    </row>
    <row r="476" spans="67:70" ht="15.75" customHeight="1" x14ac:dyDescent="0.25">
      <c r="BO476" s="6"/>
      <c r="BP476" s="7"/>
      <c r="BQ476" s="1"/>
      <c r="BR476" s="1"/>
    </row>
    <row r="477" spans="67:70" ht="15.75" customHeight="1" x14ac:dyDescent="0.25">
      <c r="BO477" s="6"/>
      <c r="BP477" s="7"/>
      <c r="BQ477" s="1"/>
      <c r="BR477" s="1"/>
    </row>
    <row r="478" spans="67:70" ht="15.75" customHeight="1" x14ac:dyDescent="0.25">
      <c r="BO478" s="6"/>
      <c r="BP478" s="7"/>
      <c r="BQ478" s="1"/>
      <c r="BR478" s="1"/>
    </row>
    <row r="479" spans="67:70" ht="15.75" customHeight="1" x14ac:dyDescent="0.25">
      <c r="BO479" s="6"/>
      <c r="BP479" s="7"/>
      <c r="BQ479" s="1"/>
      <c r="BR479" s="1"/>
    </row>
    <row r="480" spans="67:70" ht="15.75" customHeight="1" x14ac:dyDescent="0.25">
      <c r="BO480" s="6"/>
      <c r="BP480" s="7"/>
      <c r="BQ480" s="1"/>
      <c r="BR480" s="1"/>
    </row>
    <row r="481" spans="67:70" ht="15.75" customHeight="1" x14ac:dyDescent="0.25">
      <c r="BO481" s="6"/>
      <c r="BP481" s="7"/>
      <c r="BQ481" s="1"/>
      <c r="BR481" s="1"/>
    </row>
    <row r="482" spans="67:70" ht="15.75" customHeight="1" x14ac:dyDescent="0.25">
      <c r="BO482" s="6"/>
      <c r="BP482" s="7"/>
      <c r="BQ482" s="1"/>
      <c r="BR482" s="1"/>
    </row>
    <row r="483" spans="67:70" ht="15.75" customHeight="1" x14ac:dyDescent="0.25">
      <c r="BO483" s="6"/>
      <c r="BP483" s="7"/>
      <c r="BQ483" s="1"/>
      <c r="BR483" s="1"/>
    </row>
    <row r="484" spans="67:70" ht="15.75" customHeight="1" x14ac:dyDescent="0.25">
      <c r="BO484" s="6"/>
      <c r="BP484" s="7"/>
      <c r="BQ484" s="1"/>
      <c r="BR484" s="1"/>
    </row>
    <row r="485" spans="67:70" ht="15.75" customHeight="1" x14ac:dyDescent="0.25">
      <c r="BO485" s="6"/>
      <c r="BP485" s="7"/>
      <c r="BQ485" s="1"/>
      <c r="BR485" s="1"/>
    </row>
    <row r="486" spans="67:70" ht="15.75" customHeight="1" x14ac:dyDescent="0.25">
      <c r="BO486" s="6"/>
      <c r="BP486" s="7"/>
      <c r="BQ486" s="1"/>
      <c r="BR486" s="1"/>
    </row>
    <row r="487" spans="67:70" ht="15.75" customHeight="1" x14ac:dyDescent="0.25">
      <c r="BO487" s="6"/>
      <c r="BP487" s="7"/>
      <c r="BQ487" s="1"/>
      <c r="BR487" s="1"/>
    </row>
    <row r="488" spans="67:70" ht="15.75" customHeight="1" x14ac:dyDescent="0.25">
      <c r="BO488" s="6"/>
      <c r="BP488" s="7"/>
      <c r="BQ488" s="1"/>
      <c r="BR488" s="1"/>
    </row>
    <row r="489" spans="67:70" ht="15.75" customHeight="1" x14ac:dyDescent="0.25">
      <c r="BO489" s="6"/>
      <c r="BP489" s="7"/>
      <c r="BQ489" s="1"/>
      <c r="BR489" s="1"/>
    </row>
    <row r="490" spans="67:70" ht="15.75" customHeight="1" x14ac:dyDescent="0.25">
      <c r="BO490" s="6"/>
      <c r="BP490" s="7"/>
      <c r="BQ490" s="1"/>
      <c r="BR490" s="1"/>
    </row>
    <row r="491" spans="67:70" ht="15.75" customHeight="1" x14ac:dyDescent="0.25">
      <c r="BO491" s="6"/>
      <c r="BP491" s="7"/>
      <c r="BQ491" s="1"/>
      <c r="BR491" s="1"/>
    </row>
    <row r="492" spans="67:70" ht="15.75" customHeight="1" x14ac:dyDescent="0.25">
      <c r="BO492" s="6"/>
      <c r="BP492" s="7"/>
      <c r="BQ492" s="1"/>
      <c r="BR492" s="1"/>
    </row>
    <row r="493" spans="67:70" ht="15.75" customHeight="1" x14ac:dyDescent="0.25">
      <c r="BO493" s="6"/>
      <c r="BP493" s="7"/>
      <c r="BQ493" s="1"/>
      <c r="BR493" s="1"/>
    </row>
    <row r="494" spans="67:70" ht="15.75" customHeight="1" x14ac:dyDescent="0.25">
      <c r="BO494" s="6"/>
      <c r="BP494" s="7"/>
      <c r="BQ494" s="1"/>
      <c r="BR494" s="1"/>
    </row>
    <row r="495" spans="67:70" ht="15.75" customHeight="1" x14ac:dyDescent="0.25">
      <c r="BO495" s="6"/>
      <c r="BP495" s="7"/>
      <c r="BQ495" s="1"/>
      <c r="BR495" s="1"/>
    </row>
    <row r="496" spans="67:70" ht="15.75" customHeight="1" x14ac:dyDescent="0.25">
      <c r="BO496" s="6"/>
      <c r="BP496" s="7"/>
      <c r="BQ496" s="1"/>
      <c r="BR496" s="1"/>
    </row>
    <row r="497" spans="67:70" ht="15.75" customHeight="1" x14ac:dyDescent="0.25">
      <c r="BO497" s="6"/>
      <c r="BP497" s="7"/>
      <c r="BQ497" s="1"/>
      <c r="BR497" s="1"/>
    </row>
    <row r="498" spans="67:70" ht="15.75" customHeight="1" x14ac:dyDescent="0.25">
      <c r="BO498" s="6"/>
      <c r="BP498" s="7"/>
      <c r="BQ498" s="1"/>
      <c r="BR498" s="1"/>
    </row>
    <row r="499" spans="67:70" ht="15.75" customHeight="1" x14ac:dyDescent="0.25">
      <c r="BO499" s="6"/>
      <c r="BP499" s="7"/>
      <c r="BQ499" s="1"/>
      <c r="BR499" s="1"/>
    </row>
    <row r="500" spans="67:70" ht="15.75" customHeight="1" x14ac:dyDescent="0.25">
      <c r="BO500" s="6"/>
      <c r="BP500" s="7"/>
      <c r="BQ500" s="1"/>
      <c r="BR500" s="1"/>
    </row>
    <row r="501" spans="67:70" ht="15.75" customHeight="1" x14ac:dyDescent="0.25">
      <c r="BO501" s="6"/>
      <c r="BP501" s="7"/>
      <c r="BQ501" s="1"/>
      <c r="BR501" s="1"/>
    </row>
    <row r="502" spans="67:70" ht="15.75" customHeight="1" x14ac:dyDescent="0.25">
      <c r="BO502" s="6"/>
      <c r="BP502" s="7"/>
      <c r="BQ502" s="1"/>
      <c r="BR502" s="1"/>
    </row>
    <row r="503" spans="67:70" ht="15.75" customHeight="1" x14ac:dyDescent="0.25">
      <c r="BO503" s="6"/>
      <c r="BP503" s="7"/>
      <c r="BQ503" s="1"/>
      <c r="BR503" s="1"/>
    </row>
    <row r="504" spans="67:70" ht="15.75" customHeight="1" x14ac:dyDescent="0.25">
      <c r="BO504" s="6"/>
      <c r="BP504" s="7"/>
      <c r="BQ504" s="1"/>
      <c r="BR504" s="1"/>
    </row>
    <row r="505" spans="67:70" ht="15.75" customHeight="1" x14ac:dyDescent="0.25">
      <c r="BO505" s="6"/>
      <c r="BP505" s="7"/>
      <c r="BQ505" s="1"/>
      <c r="BR505" s="1"/>
    </row>
    <row r="506" spans="67:70" ht="15.75" customHeight="1" x14ac:dyDescent="0.25">
      <c r="BO506" s="6"/>
      <c r="BP506" s="7"/>
      <c r="BQ506" s="1"/>
      <c r="BR506" s="1"/>
    </row>
    <row r="507" spans="67:70" ht="15.75" customHeight="1" x14ac:dyDescent="0.25">
      <c r="BO507" s="6"/>
      <c r="BP507" s="7"/>
      <c r="BQ507" s="1"/>
      <c r="BR507" s="1"/>
    </row>
    <row r="508" spans="67:70" ht="15.75" customHeight="1" x14ac:dyDescent="0.25">
      <c r="BO508" s="6"/>
      <c r="BP508" s="7"/>
      <c r="BQ508" s="1"/>
      <c r="BR508" s="1"/>
    </row>
    <row r="509" spans="67:70" ht="15.75" customHeight="1" x14ac:dyDescent="0.25">
      <c r="BO509" s="6"/>
      <c r="BP509" s="7"/>
      <c r="BQ509" s="1"/>
      <c r="BR509" s="1"/>
    </row>
    <row r="510" spans="67:70" ht="15.75" customHeight="1" x14ac:dyDescent="0.25">
      <c r="BO510" s="6"/>
      <c r="BP510" s="7"/>
      <c r="BQ510" s="1"/>
      <c r="BR510" s="1"/>
    </row>
    <row r="511" spans="67:70" ht="15.75" customHeight="1" x14ac:dyDescent="0.25">
      <c r="BO511" s="6"/>
      <c r="BP511" s="7"/>
      <c r="BQ511" s="1"/>
      <c r="BR511" s="1"/>
    </row>
    <row r="512" spans="67:70" ht="15.75" customHeight="1" x14ac:dyDescent="0.25">
      <c r="BO512" s="6"/>
      <c r="BP512" s="7"/>
      <c r="BQ512" s="1"/>
      <c r="BR512" s="1"/>
    </row>
    <row r="513" spans="67:70" ht="15.75" customHeight="1" x14ac:dyDescent="0.25">
      <c r="BO513" s="6"/>
      <c r="BP513" s="7"/>
      <c r="BQ513" s="1"/>
      <c r="BR513" s="1"/>
    </row>
    <row r="514" spans="67:70" ht="15.75" customHeight="1" x14ac:dyDescent="0.25">
      <c r="BO514" s="6"/>
      <c r="BP514" s="7"/>
      <c r="BQ514" s="1"/>
      <c r="BR514" s="1"/>
    </row>
    <row r="515" spans="67:70" ht="15.75" customHeight="1" x14ac:dyDescent="0.25">
      <c r="BO515" s="6"/>
      <c r="BP515" s="7"/>
      <c r="BQ515" s="1"/>
      <c r="BR515" s="1"/>
    </row>
    <row r="516" spans="67:70" ht="15.75" customHeight="1" x14ac:dyDescent="0.25">
      <c r="BO516" s="6"/>
      <c r="BP516" s="7"/>
      <c r="BQ516" s="1"/>
      <c r="BR516" s="1"/>
    </row>
    <row r="517" spans="67:70" ht="15.75" customHeight="1" x14ac:dyDescent="0.25">
      <c r="BO517" s="6"/>
      <c r="BP517" s="7"/>
      <c r="BQ517" s="1"/>
      <c r="BR517" s="1"/>
    </row>
    <row r="518" spans="67:70" ht="15.75" customHeight="1" x14ac:dyDescent="0.25">
      <c r="BO518" s="6"/>
      <c r="BP518" s="7"/>
      <c r="BQ518" s="1"/>
      <c r="BR518" s="1"/>
    </row>
    <row r="519" spans="67:70" ht="15.75" customHeight="1" x14ac:dyDescent="0.25">
      <c r="BO519" s="6"/>
      <c r="BP519" s="7"/>
      <c r="BQ519" s="1"/>
      <c r="BR519" s="1"/>
    </row>
    <row r="520" spans="67:70" ht="15.75" customHeight="1" x14ac:dyDescent="0.25">
      <c r="BO520" s="6"/>
      <c r="BP520" s="7"/>
      <c r="BQ520" s="1"/>
      <c r="BR520" s="1"/>
    </row>
    <row r="521" spans="67:70" ht="15.75" customHeight="1" x14ac:dyDescent="0.25">
      <c r="BO521" s="6"/>
      <c r="BP521" s="7"/>
      <c r="BQ521" s="1"/>
      <c r="BR521" s="1"/>
    </row>
    <row r="522" spans="67:70" ht="15.75" customHeight="1" x14ac:dyDescent="0.25">
      <c r="BO522" s="6"/>
      <c r="BP522" s="7"/>
      <c r="BQ522" s="1"/>
      <c r="BR522" s="1"/>
    </row>
    <row r="523" spans="67:70" ht="15.75" customHeight="1" x14ac:dyDescent="0.25">
      <c r="BO523" s="6"/>
      <c r="BP523" s="7"/>
      <c r="BQ523" s="1"/>
      <c r="BR523" s="1"/>
    </row>
    <row r="524" spans="67:70" ht="15.75" customHeight="1" x14ac:dyDescent="0.25">
      <c r="BO524" s="6"/>
      <c r="BP524" s="7"/>
      <c r="BQ524" s="1"/>
      <c r="BR524" s="1"/>
    </row>
    <row r="525" spans="67:70" ht="15.75" customHeight="1" x14ac:dyDescent="0.25">
      <c r="BO525" s="6"/>
      <c r="BP525" s="7"/>
      <c r="BQ525" s="1"/>
      <c r="BR525" s="1"/>
    </row>
    <row r="526" spans="67:70" ht="15.75" customHeight="1" x14ac:dyDescent="0.25">
      <c r="BO526" s="6"/>
      <c r="BP526" s="7"/>
      <c r="BQ526" s="1"/>
      <c r="BR526" s="1"/>
    </row>
    <row r="527" spans="67:70" ht="15.75" customHeight="1" x14ac:dyDescent="0.25">
      <c r="BO527" s="6"/>
      <c r="BP527" s="7"/>
      <c r="BQ527" s="1"/>
      <c r="BR527" s="1"/>
    </row>
    <row r="528" spans="67:70" ht="15.75" customHeight="1" x14ac:dyDescent="0.25">
      <c r="BO528" s="6"/>
      <c r="BP528" s="7"/>
      <c r="BQ528" s="1"/>
      <c r="BR528" s="1"/>
    </row>
    <row r="529" spans="67:70" ht="15.75" customHeight="1" x14ac:dyDescent="0.25">
      <c r="BO529" s="6"/>
      <c r="BP529" s="7"/>
      <c r="BQ529" s="1"/>
      <c r="BR529" s="1"/>
    </row>
    <row r="530" spans="67:70" ht="15.75" customHeight="1" x14ac:dyDescent="0.25">
      <c r="BO530" s="6"/>
      <c r="BP530" s="7"/>
      <c r="BQ530" s="1"/>
      <c r="BR530" s="1"/>
    </row>
    <row r="531" spans="67:70" ht="15.75" customHeight="1" x14ac:dyDescent="0.25">
      <c r="BO531" s="6"/>
      <c r="BP531" s="7"/>
      <c r="BQ531" s="1"/>
      <c r="BR531" s="1"/>
    </row>
    <row r="532" spans="67:70" ht="15.75" customHeight="1" x14ac:dyDescent="0.25">
      <c r="BO532" s="6"/>
      <c r="BP532" s="7"/>
      <c r="BQ532" s="1"/>
      <c r="BR532" s="1"/>
    </row>
    <row r="533" spans="67:70" ht="15.75" customHeight="1" x14ac:dyDescent="0.25">
      <c r="BO533" s="6"/>
      <c r="BP533" s="7"/>
      <c r="BQ533" s="1"/>
      <c r="BR533" s="1"/>
    </row>
    <row r="534" spans="67:70" ht="15.75" customHeight="1" x14ac:dyDescent="0.25">
      <c r="BO534" s="6"/>
      <c r="BP534" s="7"/>
      <c r="BQ534" s="1"/>
      <c r="BR534" s="1"/>
    </row>
    <row r="535" spans="67:70" ht="15.75" customHeight="1" x14ac:dyDescent="0.25">
      <c r="BO535" s="6"/>
      <c r="BP535" s="7"/>
      <c r="BQ535" s="1"/>
      <c r="BR535" s="1"/>
    </row>
    <row r="536" spans="67:70" ht="15.75" customHeight="1" x14ac:dyDescent="0.25">
      <c r="BO536" s="6"/>
      <c r="BP536" s="7"/>
      <c r="BQ536" s="1"/>
      <c r="BR536" s="1"/>
    </row>
    <row r="537" spans="67:70" ht="15.75" customHeight="1" x14ac:dyDescent="0.25">
      <c r="BO537" s="6"/>
      <c r="BP537" s="7"/>
      <c r="BQ537" s="1"/>
      <c r="BR537" s="1"/>
    </row>
    <row r="538" spans="67:70" ht="15.75" customHeight="1" x14ac:dyDescent="0.25">
      <c r="BO538" s="6"/>
      <c r="BP538" s="7"/>
      <c r="BQ538" s="1"/>
      <c r="BR538" s="1"/>
    </row>
    <row r="539" spans="67:70" ht="15.75" customHeight="1" x14ac:dyDescent="0.25">
      <c r="BO539" s="6"/>
      <c r="BP539" s="7"/>
      <c r="BQ539" s="1"/>
      <c r="BR539" s="1"/>
    </row>
    <row r="540" spans="67:70" ht="15.75" customHeight="1" x14ac:dyDescent="0.25">
      <c r="BO540" s="6"/>
      <c r="BP540" s="7"/>
      <c r="BQ540" s="1"/>
      <c r="BR540" s="1"/>
    </row>
    <row r="541" spans="67:70" ht="15.75" customHeight="1" x14ac:dyDescent="0.25">
      <c r="BO541" s="6"/>
      <c r="BP541" s="7"/>
      <c r="BQ541" s="1"/>
      <c r="BR541" s="1"/>
    </row>
    <row r="542" spans="67:70" ht="15.75" customHeight="1" x14ac:dyDescent="0.25">
      <c r="BO542" s="6"/>
      <c r="BP542" s="7"/>
      <c r="BQ542" s="1"/>
      <c r="BR542" s="1"/>
    </row>
    <row r="543" spans="67:70" ht="15.75" customHeight="1" x14ac:dyDescent="0.25">
      <c r="BO543" s="6"/>
      <c r="BP543" s="7"/>
      <c r="BQ543" s="1"/>
      <c r="BR543" s="1"/>
    </row>
    <row r="544" spans="67:70" ht="15.75" customHeight="1" x14ac:dyDescent="0.25">
      <c r="BO544" s="6"/>
      <c r="BP544" s="7"/>
      <c r="BQ544" s="1"/>
      <c r="BR544" s="1"/>
    </row>
    <row r="545" spans="67:70" ht="15.75" customHeight="1" x14ac:dyDescent="0.25">
      <c r="BO545" s="6"/>
      <c r="BP545" s="7"/>
      <c r="BQ545" s="1"/>
      <c r="BR545" s="1"/>
    </row>
    <row r="546" spans="67:70" ht="15.75" customHeight="1" x14ac:dyDescent="0.25">
      <c r="BO546" s="6"/>
      <c r="BP546" s="7"/>
      <c r="BQ546" s="1"/>
      <c r="BR546" s="1"/>
    </row>
    <row r="547" spans="67:70" ht="15.75" customHeight="1" x14ac:dyDescent="0.25">
      <c r="BO547" s="6"/>
      <c r="BP547" s="7"/>
      <c r="BQ547" s="1"/>
      <c r="BR547" s="1"/>
    </row>
    <row r="548" spans="67:70" ht="15.75" customHeight="1" x14ac:dyDescent="0.25">
      <c r="BO548" s="6"/>
      <c r="BP548" s="7"/>
      <c r="BQ548" s="1"/>
      <c r="BR548" s="1"/>
    </row>
    <row r="549" spans="67:70" ht="15.75" customHeight="1" x14ac:dyDescent="0.25">
      <c r="BO549" s="6"/>
      <c r="BP549" s="7"/>
      <c r="BQ549" s="1"/>
      <c r="BR549" s="1"/>
    </row>
    <row r="550" spans="67:70" ht="15.75" customHeight="1" x14ac:dyDescent="0.25">
      <c r="BO550" s="6"/>
      <c r="BP550" s="7"/>
      <c r="BQ550" s="1"/>
      <c r="BR550" s="1"/>
    </row>
    <row r="551" spans="67:70" ht="15.75" customHeight="1" x14ac:dyDescent="0.25">
      <c r="BO551" s="6"/>
      <c r="BP551" s="7"/>
      <c r="BQ551" s="1"/>
      <c r="BR551" s="1"/>
    </row>
    <row r="552" spans="67:70" ht="15.75" customHeight="1" x14ac:dyDescent="0.25">
      <c r="BO552" s="6"/>
      <c r="BP552" s="7"/>
      <c r="BQ552" s="1"/>
      <c r="BR552" s="1"/>
    </row>
    <row r="553" spans="67:70" ht="15.75" customHeight="1" x14ac:dyDescent="0.25">
      <c r="BO553" s="6"/>
      <c r="BP553" s="7"/>
      <c r="BQ553" s="1"/>
      <c r="BR553" s="1"/>
    </row>
    <row r="554" spans="67:70" ht="15.75" customHeight="1" x14ac:dyDescent="0.25">
      <c r="BO554" s="6"/>
      <c r="BP554" s="7"/>
      <c r="BQ554" s="1"/>
      <c r="BR554" s="1"/>
    </row>
    <row r="555" spans="67:70" ht="15.75" customHeight="1" x14ac:dyDescent="0.25">
      <c r="BO555" s="6"/>
      <c r="BP555" s="7"/>
      <c r="BQ555" s="1"/>
      <c r="BR555" s="1"/>
    </row>
    <row r="556" spans="67:70" ht="15.75" customHeight="1" x14ac:dyDescent="0.25">
      <c r="BO556" s="6"/>
      <c r="BP556" s="7"/>
      <c r="BQ556" s="1"/>
      <c r="BR556" s="1"/>
    </row>
    <row r="557" spans="67:70" ht="15.75" customHeight="1" x14ac:dyDescent="0.25">
      <c r="BO557" s="6"/>
      <c r="BP557" s="7"/>
      <c r="BQ557" s="1"/>
      <c r="BR557" s="1"/>
    </row>
    <row r="558" spans="67:70" ht="15.75" customHeight="1" x14ac:dyDescent="0.25">
      <c r="BO558" s="6"/>
      <c r="BP558" s="7"/>
      <c r="BQ558" s="1"/>
      <c r="BR558" s="1"/>
    </row>
    <row r="559" spans="67:70" ht="15.75" customHeight="1" x14ac:dyDescent="0.25">
      <c r="BO559" s="6"/>
      <c r="BP559" s="7"/>
      <c r="BQ559" s="1"/>
      <c r="BR559" s="1"/>
    </row>
    <row r="560" spans="67:70" ht="15.75" customHeight="1" x14ac:dyDescent="0.25">
      <c r="BO560" s="6"/>
      <c r="BP560" s="7"/>
      <c r="BQ560" s="1"/>
      <c r="BR560" s="1"/>
    </row>
    <row r="561" spans="67:70" ht="15.75" customHeight="1" x14ac:dyDescent="0.25">
      <c r="BO561" s="6"/>
      <c r="BP561" s="7"/>
      <c r="BQ561" s="1"/>
      <c r="BR561" s="1"/>
    </row>
    <row r="562" spans="67:70" ht="15.75" customHeight="1" x14ac:dyDescent="0.25">
      <c r="BO562" s="6"/>
      <c r="BP562" s="7"/>
      <c r="BQ562" s="1"/>
      <c r="BR562" s="1"/>
    </row>
    <row r="563" spans="67:70" ht="15.75" customHeight="1" x14ac:dyDescent="0.25">
      <c r="BO563" s="6"/>
      <c r="BP563" s="7"/>
      <c r="BQ563" s="1"/>
      <c r="BR563" s="1"/>
    </row>
    <row r="564" spans="67:70" ht="15.75" customHeight="1" x14ac:dyDescent="0.25">
      <c r="BO564" s="6"/>
      <c r="BP564" s="7"/>
      <c r="BQ564" s="1"/>
      <c r="BR564" s="1"/>
    </row>
    <row r="565" spans="67:70" ht="15.75" customHeight="1" x14ac:dyDescent="0.25">
      <c r="BO565" s="6"/>
      <c r="BP565" s="7"/>
      <c r="BQ565" s="1"/>
      <c r="BR565" s="1"/>
    </row>
    <row r="566" spans="67:70" ht="15.75" customHeight="1" x14ac:dyDescent="0.25">
      <c r="BO566" s="6"/>
      <c r="BP566" s="7"/>
      <c r="BQ566" s="1"/>
      <c r="BR566" s="1"/>
    </row>
    <row r="567" spans="67:70" ht="15.75" customHeight="1" x14ac:dyDescent="0.25">
      <c r="BO567" s="6"/>
      <c r="BP567" s="7"/>
      <c r="BQ567" s="1"/>
      <c r="BR567" s="1"/>
    </row>
    <row r="568" spans="67:70" ht="15.75" customHeight="1" x14ac:dyDescent="0.25">
      <c r="BO568" s="6"/>
      <c r="BP568" s="7"/>
      <c r="BQ568" s="1"/>
      <c r="BR568" s="1"/>
    </row>
    <row r="569" spans="67:70" ht="15.75" customHeight="1" x14ac:dyDescent="0.25">
      <c r="BO569" s="6"/>
      <c r="BP569" s="7"/>
      <c r="BQ569" s="1"/>
      <c r="BR569" s="1"/>
    </row>
    <row r="570" spans="67:70" ht="15.75" customHeight="1" x14ac:dyDescent="0.25">
      <c r="BO570" s="6"/>
      <c r="BP570" s="7"/>
      <c r="BQ570" s="1"/>
      <c r="BR570" s="1"/>
    </row>
    <row r="571" spans="67:70" ht="15.75" customHeight="1" x14ac:dyDescent="0.25">
      <c r="BO571" s="6"/>
      <c r="BP571" s="7"/>
      <c r="BQ571" s="1"/>
      <c r="BR571" s="1"/>
    </row>
    <row r="572" spans="67:70" ht="15.75" customHeight="1" x14ac:dyDescent="0.25">
      <c r="BO572" s="6"/>
      <c r="BP572" s="7"/>
      <c r="BQ572" s="1"/>
      <c r="BR572" s="1"/>
    </row>
    <row r="573" spans="67:70" ht="15.75" customHeight="1" x14ac:dyDescent="0.25">
      <c r="BO573" s="6"/>
      <c r="BP573" s="7"/>
      <c r="BQ573" s="1"/>
      <c r="BR573" s="1"/>
    </row>
    <row r="574" spans="67:70" ht="15.75" customHeight="1" x14ac:dyDescent="0.25">
      <c r="BO574" s="6"/>
      <c r="BP574" s="7"/>
      <c r="BQ574" s="1"/>
      <c r="BR574" s="1"/>
    </row>
    <row r="575" spans="67:70" ht="15.75" customHeight="1" x14ac:dyDescent="0.25">
      <c r="BO575" s="6"/>
      <c r="BP575" s="7"/>
      <c r="BQ575" s="1"/>
      <c r="BR575" s="1"/>
    </row>
    <row r="576" spans="67:70" ht="15.75" customHeight="1" x14ac:dyDescent="0.25">
      <c r="BO576" s="6"/>
      <c r="BP576" s="7"/>
      <c r="BQ576" s="1"/>
      <c r="BR576" s="1"/>
    </row>
    <row r="577" spans="67:70" ht="15.75" customHeight="1" x14ac:dyDescent="0.25">
      <c r="BO577" s="6"/>
      <c r="BP577" s="7"/>
      <c r="BQ577" s="1"/>
      <c r="BR577" s="1"/>
    </row>
    <row r="578" spans="67:70" ht="15.75" customHeight="1" x14ac:dyDescent="0.25">
      <c r="BO578" s="6"/>
      <c r="BP578" s="7"/>
      <c r="BQ578" s="1"/>
      <c r="BR578" s="1"/>
    </row>
    <row r="579" spans="67:70" ht="15.75" customHeight="1" x14ac:dyDescent="0.25">
      <c r="BO579" s="6"/>
      <c r="BP579" s="7"/>
      <c r="BQ579" s="1"/>
      <c r="BR579" s="1"/>
    </row>
    <row r="580" spans="67:70" ht="15.75" customHeight="1" x14ac:dyDescent="0.25">
      <c r="BO580" s="6"/>
      <c r="BP580" s="7"/>
      <c r="BQ580" s="1"/>
      <c r="BR580" s="1"/>
    </row>
    <row r="581" spans="67:70" ht="15.75" customHeight="1" x14ac:dyDescent="0.25">
      <c r="BO581" s="6"/>
      <c r="BP581" s="7"/>
      <c r="BQ581" s="1"/>
      <c r="BR581" s="1"/>
    </row>
    <row r="582" spans="67:70" ht="15.75" customHeight="1" x14ac:dyDescent="0.25">
      <c r="BO582" s="6"/>
      <c r="BP582" s="7"/>
      <c r="BQ582" s="1"/>
      <c r="BR582" s="1"/>
    </row>
    <row r="583" spans="67:70" ht="15.75" customHeight="1" x14ac:dyDescent="0.25">
      <c r="BO583" s="6"/>
      <c r="BP583" s="7"/>
      <c r="BQ583" s="1"/>
      <c r="BR583" s="1"/>
    </row>
    <row r="584" spans="67:70" ht="15.75" customHeight="1" x14ac:dyDescent="0.25">
      <c r="BO584" s="6"/>
      <c r="BP584" s="7"/>
      <c r="BQ584" s="1"/>
      <c r="BR584" s="1"/>
    </row>
    <row r="585" spans="67:70" ht="15.75" customHeight="1" x14ac:dyDescent="0.25">
      <c r="BO585" s="6"/>
      <c r="BP585" s="7"/>
      <c r="BQ585" s="1"/>
      <c r="BR585" s="1"/>
    </row>
    <row r="586" spans="67:70" ht="15.75" customHeight="1" x14ac:dyDescent="0.25">
      <c r="BO586" s="6"/>
      <c r="BP586" s="7"/>
      <c r="BQ586" s="1"/>
      <c r="BR586" s="1"/>
    </row>
    <row r="587" spans="67:70" ht="15.75" customHeight="1" x14ac:dyDescent="0.25">
      <c r="BO587" s="6"/>
      <c r="BP587" s="7"/>
      <c r="BQ587" s="1"/>
      <c r="BR587" s="1"/>
    </row>
    <row r="588" spans="67:70" ht="15.75" customHeight="1" x14ac:dyDescent="0.25">
      <c r="BO588" s="6"/>
      <c r="BP588" s="7"/>
      <c r="BQ588" s="1"/>
      <c r="BR588" s="1"/>
    </row>
    <row r="589" spans="67:70" ht="15.75" customHeight="1" x14ac:dyDescent="0.25">
      <c r="BO589" s="6"/>
      <c r="BP589" s="7"/>
      <c r="BQ589" s="1"/>
      <c r="BR589" s="1"/>
    </row>
    <row r="590" spans="67:70" ht="15.75" customHeight="1" x14ac:dyDescent="0.25">
      <c r="BO590" s="6"/>
      <c r="BP590" s="7"/>
      <c r="BQ590" s="1"/>
      <c r="BR590" s="1"/>
    </row>
    <row r="591" spans="67:70" ht="15.75" customHeight="1" x14ac:dyDescent="0.25">
      <c r="BO591" s="6"/>
      <c r="BP591" s="7"/>
      <c r="BQ591" s="1"/>
      <c r="BR591" s="1"/>
    </row>
    <row r="592" spans="67:70" ht="15.75" customHeight="1" x14ac:dyDescent="0.25">
      <c r="BO592" s="6"/>
      <c r="BP592" s="7"/>
      <c r="BQ592" s="1"/>
      <c r="BR592" s="1"/>
    </row>
    <row r="593" spans="67:70" ht="15.75" customHeight="1" x14ac:dyDescent="0.25">
      <c r="BO593" s="6"/>
      <c r="BP593" s="7"/>
      <c r="BQ593" s="1"/>
      <c r="BR593" s="1"/>
    </row>
    <row r="594" spans="67:70" ht="15.75" customHeight="1" x14ac:dyDescent="0.25">
      <c r="BO594" s="6"/>
      <c r="BP594" s="7"/>
      <c r="BQ594" s="1"/>
      <c r="BR594" s="1"/>
    </row>
    <row r="595" spans="67:70" ht="15.75" customHeight="1" x14ac:dyDescent="0.25">
      <c r="BO595" s="6"/>
      <c r="BP595" s="7"/>
      <c r="BQ595" s="1"/>
      <c r="BR595" s="1"/>
    </row>
    <row r="596" spans="67:70" ht="15.75" customHeight="1" x14ac:dyDescent="0.25">
      <c r="BO596" s="6"/>
      <c r="BP596" s="7"/>
      <c r="BQ596" s="1"/>
      <c r="BR596" s="1"/>
    </row>
    <row r="597" spans="67:70" ht="15.75" customHeight="1" x14ac:dyDescent="0.25">
      <c r="BO597" s="6"/>
      <c r="BP597" s="7"/>
      <c r="BQ597" s="1"/>
      <c r="BR597" s="1"/>
    </row>
    <row r="598" spans="67:70" ht="15.75" customHeight="1" x14ac:dyDescent="0.25">
      <c r="BO598" s="6"/>
      <c r="BP598" s="7"/>
      <c r="BQ598" s="1"/>
      <c r="BR598" s="1"/>
    </row>
    <row r="599" spans="67:70" ht="15.75" customHeight="1" x14ac:dyDescent="0.25">
      <c r="BO599" s="6"/>
      <c r="BP599" s="7"/>
      <c r="BQ599" s="1"/>
      <c r="BR599" s="1"/>
    </row>
    <row r="600" spans="67:70" ht="15.75" customHeight="1" x14ac:dyDescent="0.25">
      <c r="BO600" s="6"/>
      <c r="BP600" s="7"/>
      <c r="BQ600" s="1"/>
      <c r="BR600" s="1"/>
    </row>
    <row r="601" spans="67:70" ht="15.75" customHeight="1" x14ac:dyDescent="0.25">
      <c r="BO601" s="6"/>
      <c r="BP601" s="7"/>
      <c r="BQ601" s="1"/>
      <c r="BR601" s="1"/>
    </row>
    <row r="602" spans="67:70" ht="15.75" customHeight="1" x14ac:dyDescent="0.25">
      <c r="BO602" s="6"/>
      <c r="BP602" s="7"/>
      <c r="BQ602" s="1"/>
      <c r="BR602" s="1"/>
    </row>
    <row r="603" spans="67:70" ht="15.75" customHeight="1" x14ac:dyDescent="0.25">
      <c r="BO603" s="6"/>
      <c r="BP603" s="7"/>
      <c r="BQ603" s="1"/>
      <c r="BR603" s="1"/>
    </row>
    <row r="604" spans="67:70" ht="15.75" customHeight="1" x14ac:dyDescent="0.25">
      <c r="BO604" s="6"/>
      <c r="BP604" s="7"/>
      <c r="BQ604" s="1"/>
      <c r="BR604" s="1"/>
    </row>
    <row r="605" spans="67:70" ht="15.75" customHeight="1" x14ac:dyDescent="0.25">
      <c r="BO605" s="6"/>
      <c r="BP605" s="7"/>
      <c r="BQ605" s="1"/>
      <c r="BR605" s="1"/>
    </row>
    <row r="606" spans="67:70" ht="15.75" customHeight="1" x14ac:dyDescent="0.25">
      <c r="BO606" s="6"/>
      <c r="BP606" s="7"/>
      <c r="BQ606" s="1"/>
      <c r="BR606" s="1"/>
    </row>
    <row r="607" spans="67:70" ht="15.75" customHeight="1" x14ac:dyDescent="0.25">
      <c r="BO607" s="6"/>
      <c r="BP607" s="7"/>
      <c r="BQ607" s="1"/>
      <c r="BR607" s="1"/>
    </row>
    <row r="608" spans="67:70" ht="15.75" customHeight="1" x14ac:dyDescent="0.25">
      <c r="BO608" s="6"/>
      <c r="BP608" s="7"/>
      <c r="BQ608" s="1"/>
      <c r="BR608" s="1"/>
    </row>
    <row r="609" spans="67:70" ht="15.75" customHeight="1" x14ac:dyDescent="0.25">
      <c r="BO609" s="6"/>
      <c r="BP609" s="7"/>
      <c r="BQ609" s="1"/>
      <c r="BR609" s="1"/>
    </row>
    <row r="610" spans="67:70" ht="15.75" customHeight="1" x14ac:dyDescent="0.25">
      <c r="BO610" s="6"/>
      <c r="BP610" s="7"/>
      <c r="BQ610" s="1"/>
      <c r="BR610" s="1"/>
    </row>
    <row r="611" spans="67:70" ht="15.75" customHeight="1" x14ac:dyDescent="0.25">
      <c r="BO611" s="6"/>
      <c r="BP611" s="7"/>
      <c r="BQ611" s="1"/>
      <c r="BR611" s="1"/>
    </row>
    <row r="612" spans="67:70" ht="15.75" customHeight="1" x14ac:dyDescent="0.25">
      <c r="BO612" s="6"/>
      <c r="BP612" s="7"/>
      <c r="BQ612" s="1"/>
      <c r="BR612" s="1"/>
    </row>
    <row r="613" spans="67:70" ht="15.75" customHeight="1" x14ac:dyDescent="0.25">
      <c r="BO613" s="6"/>
      <c r="BP613" s="7"/>
      <c r="BQ613" s="1"/>
      <c r="BR613" s="1"/>
    </row>
    <row r="614" spans="67:70" ht="15.75" customHeight="1" x14ac:dyDescent="0.25">
      <c r="BO614" s="6"/>
      <c r="BP614" s="7"/>
      <c r="BQ614" s="1"/>
      <c r="BR614" s="1"/>
    </row>
    <row r="615" spans="67:70" ht="15.75" customHeight="1" x14ac:dyDescent="0.25">
      <c r="BO615" s="6"/>
      <c r="BP615" s="7"/>
      <c r="BQ615" s="1"/>
      <c r="BR615" s="1"/>
    </row>
    <row r="616" spans="67:70" ht="15.75" customHeight="1" x14ac:dyDescent="0.25">
      <c r="BO616" s="6"/>
      <c r="BP616" s="7"/>
      <c r="BQ616" s="1"/>
      <c r="BR616" s="1"/>
    </row>
    <row r="617" spans="67:70" ht="15.75" customHeight="1" x14ac:dyDescent="0.25">
      <c r="BO617" s="6"/>
      <c r="BP617" s="7"/>
      <c r="BQ617" s="1"/>
      <c r="BR617" s="1"/>
    </row>
    <row r="618" spans="67:70" ht="15.75" customHeight="1" x14ac:dyDescent="0.25">
      <c r="BO618" s="6"/>
      <c r="BP618" s="7"/>
      <c r="BQ618" s="1"/>
      <c r="BR618" s="1"/>
    </row>
    <row r="619" spans="67:70" ht="15.75" customHeight="1" x14ac:dyDescent="0.25">
      <c r="BO619" s="6"/>
      <c r="BP619" s="7"/>
      <c r="BQ619" s="1"/>
      <c r="BR619" s="1"/>
    </row>
    <row r="620" spans="67:70" ht="15.75" customHeight="1" x14ac:dyDescent="0.25">
      <c r="BO620" s="6"/>
      <c r="BP620" s="7"/>
      <c r="BQ620" s="1"/>
      <c r="BR620" s="1"/>
    </row>
    <row r="621" spans="67:70" ht="15.75" customHeight="1" x14ac:dyDescent="0.25">
      <c r="BO621" s="6"/>
      <c r="BP621" s="7"/>
      <c r="BQ621" s="1"/>
      <c r="BR621" s="1"/>
    </row>
    <row r="622" spans="67:70" ht="15.75" customHeight="1" x14ac:dyDescent="0.25">
      <c r="BO622" s="6"/>
      <c r="BP622" s="7"/>
      <c r="BQ622" s="1"/>
      <c r="BR622" s="1"/>
    </row>
    <row r="623" spans="67:70" ht="15.75" customHeight="1" x14ac:dyDescent="0.25">
      <c r="BO623" s="6"/>
      <c r="BP623" s="7"/>
      <c r="BQ623" s="1"/>
      <c r="BR623" s="1"/>
    </row>
    <row r="624" spans="67:70" ht="15.75" customHeight="1" x14ac:dyDescent="0.25">
      <c r="BO624" s="6"/>
      <c r="BP624" s="7"/>
      <c r="BQ624" s="1"/>
      <c r="BR624" s="1"/>
    </row>
    <row r="625" spans="67:70" ht="15.75" customHeight="1" x14ac:dyDescent="0.25">
      <c r="BO625" s="6"/>
      <c r="BP625" s="7"/>
      <c r="BQ625" s="1"/>
      <c r="BR625" s="1"/>
    </row>
    <row r="626" spans="67:70" ht="15.75" customHeight="1" x14ac:dyDescent="0.25">
      <c r="BO626" s="6"/>
      <c r="BP626" s="7"/>
      <c r="BQ626" s="1"/>
      <c r="BR626" s="1"/>
    </row>
    <row r="627" spans="67:70" ht="15.75" customHeight="1" x14ac:dyDescent="0.25">
      <c r="BO627" s="6"/>
      <c r="BP627" s="7"/>
      <c r="BQ627" s="1"/>
      <c r="BR627" s="1"/>
    </row>
    <row r="628" spans="67:70" ht="15.75" customHeight="1" x14ac:dyDescent="0.25">
      <c r="BO628" s="6"/>
      <c r="BP628" s="7"/>
      <c r="BQ628" s="1"/>
      <c r="BR628" s="1"/>
    </row>
    <row r="629" spans="67:70" ht="15.75" customHeight="1" x14ac:dyDescent="0.25">
      <c r="BO629" s="6"/>
      <c r="BP629" s="7"/>
      <c r="BQ629" s="1"/>
      <c r="BR629" s="1"/>
    </row>
    <row r="630" spans="67:70" ht="15.75" customHeight="1" x14ac:dyDescent="0.25">
      <c r="BO630" s="6"/>
      <c r="BP630" s="7"/>
      <c r="BQ630" s="1"/>
      <c r="BR630" s="1"/>
    </row>
    <row r="631" spans="67:70" ht="15.75" customHeight="1" x14ac:dyDescent="0.25">
      <c r="BO631" s="6"/>
      <c r="BP631" s="7"/>
      <c r="BQ631" s="1"/>
      <c r="BR631" s="1"/>
    </row>
    <row r="632" spans="67:70" ht="15.75" customHeight="1" x14ac:dyDescent="0.25">
      <c r="BO632" s="6"/>
      <c r="BP632" s="7"/>
      <c r="BQ632" s="1"/>
      <c r="BR632" s="1"/>
    </row>
    <row r="633" spans="67:70" ht="15.75" customHeight="1" x14ac:dyDescent="0.25">
      <c r="BO633" s="6"/>
      <c r="BP633" s="7"/>
      <c r="BQ633" s="1"/>
      <c r="BR633" s="1"/>
    </row>
    <row r="634" spans="67:70" ht="15.75" customHeight="1" x14ac:dyDescent="0.25">
      <c r="BO634" s="6"/>
      <c r="BP634" s="7"/>
      <c r="BQ634" s="1"/>
      <c r="BR634" s="1"/>
    </row>
    <row r="635" spans="67:70" ht="15.75" customHeight="1" x14ac:dyDescent="0.25">
      <c r="BO635" s="6"/>
      <c r="BP635" s="7"/>
      <c r="BQ635" s="1"/>
      <c r="BR635" s="1"/>
    </row>
    <row r="636" spans="67:70" ht="15.75" customHeight="1" x14ac:dyDescent="0.25">
      <c r="BO636" s="6"/>
      <c r="BP636" s="7"/>
      <c r="BQ636" s="1"/>
      <c r="BR636" s="1"/>
    </row>
    <row r="637" spans="67:70" ht="15.75" customHeight="1" x14ac:dyDescent="0.25">
      <c r="BO637" s="6"/>
      <c r="BP637" s="7"/>
      <c r="BQ637" s="1"/>
      <c r="BR637" s="1"/>
    </row>
    <row r="638" spans="67:70" ht="15.75" customHeight="1" x14ac:dyDescent="0.25">
      <c r="BO638" s="6"/>
      <c r="BP638" s="7"/>
      <c r="BQ638" s="1"/>
      <c r="BR638" s="1"/>
    </row>
    <row r="639" spans="67:70" ht="15.75" customHeight="1" x14ac:dyDescent="0.25">
      <c r="BO639" s="6"/>
      <c r="BP639" s="7"/>
      <c r="BQ639" s="1"/>
      <c r="BR639" s="1"/>
    </row>
    <row r="640" spans="67:70" ht="15.75" customHeight="1" x14ac:dyDescent="0.25">
      <c r="BO640" s="6"/>
      <c r="BP640" s="7"/>
      <c r="BQ640" s="1"/>
      <c r="BR640" s="1"/>
    </row>
    <row r="641" spans="67:70" ht="15.75" customHeight="1" x14ac:dyDescent="0.25">
      <c r="BO641" s="6"/>
      <c r="BP641" s="7"/>
      <c r="BQ641" s="1"/>
      <c r="BR641" s="1"/>
    </row>
    <row r="642" spans="67:70" ht="15.75" customHeight="1" x14ac:dyDescent="0.25">
      <c r="BO642" s="6"/>
      <c r="BP642" s="7"/>
      <c r="BQ642" s="1"/>
      <c r="BR642" s="1"/>
    </row>
    <row r="643" spans="67:70" ht="15.75" customHeight="1" x14ac:dyDescent="0.25">
      <c r="BO643" s="6"/>
      <c r="BP643" s="7"/>
      <c r="BQ643" s="1"/>
      <c r="BR643" s="1"/>
    </row>
    <row r="644" spans="67:70" ht="15.75" customHeight="1" x14ac:dyDescent="0.25">
      <c r="BO644" s="6"/>
      <c r="BP644" s="7"/>
      <c r="BQ644" s="1"/>
      <c r="BR644" s="1"/>
    </row>
    <row r="645" spans="67:70" ht="15.75" customHeight="1" x14ac:dyDescent="0.25">
      <c r="BO645" s="6"/>
      <c r="BP645" s="7"/>
      <c r="BQ645" s="1"/>
      <c r="BR645" s="1"/>
    </row>
    <row r="646" spans="67:70" ht="15.75" customHeight="1" x14ac:dyDescent="0.25">
      <c r="BO646" s="6"/>
      <c r="BP646" s="7"/>
      <c r="BQ646" s="1"/>
      <c r="BR646" s="1"/>
    </row>
    <row r="647" spans="67:70" ht="15.75" customHeight="1" x14ac:dyDescent="0.25">
      <c r="BO647" s="6"/>
      <c r="BP647" s="7"/>
      <c r="BQ647" s="1"/>
      <c r="BR647" s="1"/>
    </row>
    <row r="648" spans="67:70" ht="15.75" customHeight="1" x14ac:dyDescent="0.25">
      <c r="BO648" s="6"/>
      <c r="BP648" s="7"/>
      <c r="BQ648" s="1"/>
      <c r="BR648" s="1"/>
    </row>
    <row r="649" spans="67:70" ht="15.75" customHeight="1" x14ac:dyDescent="0.25">
      <c r="BO649" s="6"/>
      <c r="BP649" s="7"/>
      <c r="BQ649" s="1"/>
      <c r="BR649" s="1"/>
    </row>
    <row r="650" spans="67:70" ht="15.75" customHeight="1" x14ac:dyDescent="0.25">
      <c r="BO650" s="6"/>
      <c r="BP650" s="7"/>
      <c r="BQ650" s="1"/>
      <c r="BR650" s="1"/>
    </row>
    <row r="651" spans="67:70" ht="15.75" customHeight="1" x14ac:dyDescent="0.25">
      <c r="BO651" s="6"/>
      <c r="BP651" s="7"/>
      <c r="BQ651" s="1"/>
      <c r="BR651" s="1"/>
    </row>
    <row r="652" spans="67:70" ht="15.75" customHeight="1" x14ac:dyDescent="0.25">
      <c r="BO652" s="6"/>
      <c r="BP652" s="7"/>
      <c r="BQ652" s="1"/>
      <c r="BR652" s="1"/>
    </row>
    <row r="653" spans="67:70" ht="15.75" customHeight="1" x14ac:dyDescent="0.25">
      <c r="BO653" s="6"/>
      <c r="BP653" s="7"/>
      <c r="BQ653" s="1"/>
      <c r="BR653" s="1"/>
    </row>
    <row r="654" spans="67:70" ht="15.75" customHeight="1" x14ac:dyDescent="0.25">
      <c r="BO654" s="6"/>
      <c r="BP654" s="7"/>
      <c r="BQ654" s="1"/>
      <c r="BR654" s="1"/>
    </row>
    <row r="655" spans="67:70" ht="15.75" customHeight="1" x14ac:dyDescent="0.25">
      <c r="BO655" s="6"/>
      <c r="BP655" s="7"/>
      <c r="BQ655" s="1"/>
      <c r="BR655" s="1"/>
    </row>
    <row r="656" spans="67:70" ht="15.75" customHeight="1" x14ac:dyDescent="0.25">
      <c r="BO656" s="6"/>
      <c r="BP656" s="7"/>
      <c r="BQ656" s="1"/>
      <c r="BR656" s="1"/>
    </row>
    <row r="657" spans="67:70" ht="15.75" customHeight="1" x14ac:dyDescent="0.25">
      <c r="BO657" s="6"/>
      <c r="BP657" s="7"/>
      <c r="BQ657" s="1"/>
      <c r="BR657" s="1"/>
    </row>
    <row r="658" spans="67:70" ht="15.75" customHeight="1" x14ac:dyDescent="0.25">
      <c r="BO658" s="6"/>
      <c r="BP658" s="7"/>
      <c r="BQ658" s="1"/>
      <c r="BR658" s="1"/>
    </row>
    <row r="659" spans="67:70" ht="15.75" customHeight="1" x14ac:dyDescent="0.25">
      <c r="BO659" s="6"/>
      <c r="BP659" s="7"/>
      <c r="BQ659" s="1"/>
      <c r="BR659" s="1"/>
    </row>
    <row r="660" spans="67:70" ht="15.75" customHeight="1" x14ac:dyDescent="0.25">
      <c r="BO660" s="6"/>
      <c r="BP660" s="7"/>
      <c r="BQ660" s="1"/>
      <c r="BR660" s="1"/>
    </row>
    <row r="661" spans="67:70" ht="15.75" customHeight="1" x14ac:dyDescent="0.25">
      <c r="BO661" s="6"/>
      <c r="BP661" s="7"/>
      <c r="BQ661" s="1"/>
      <c r="BR661" s="1"/>
    </row>
    <row r="662" spans="67:70" ht="15.75" customHeight="1" x14ac:dyDescent="0.25">
      <c r="BO662" s="6"/>
      <c r="BP662" s="7"/>
      <c r="BQ662" s="1"/>
      <c r="BR662" s="1"/>
    </row>
    <row r="663" spans="67:70" ht="15.75" customHeight="1" x14ac:dyDescent="0.25">
      <c r="BO663" s="6"/>
      <c r="BP663" s="7"/>
      <c r="BQ663" s="1"/>
      <c r="BR663" s="1"/>
    </row>
    <row r="664" spans="67:70" ht="15.75" customHeight="1" x14ac:dyDescent="0.25">
      <c r="BO664" s="6"/>
      <c r="BP664" s="7"/>
      <c r="BQ664" s="1"/>
      <c r="BR664" s="1"/>
    </row>
    <row r="665" spans="67:70" ht="15.75" customHeight="1" x14ac:dyDescent="0.25">
      <c r="BO665" s="6"/>
      <c r="BP665" s="7"/>
      <c r="BQ665" s="1"/>
      <c r="BR665" s="1"/>
    </row>
    <row r="666" spans="67:70" ht="15.75" customHeight="1" x14ac:dyDescent="0.25">
      <c r="BO666" s="6"/>
      <c r="BP666" s="7"/>
      <c r="BQ666" s="1"/>
      <c r="BR666" s="1"/>
    </row>
    <row r="667" spans="67:70" ht="15.75" customHeight="1" x14ac:dyDescent="0.25">
      <c r="BO667" s="6"/>
      <c r="BP667" s="7"/>
      <c r="BQ667" s="1"/>
      <c r="BR667" s="1"/>
    </row>
    <row r="668" spans="67:70" ht="15.75" customHeight="1" x14ac:dyDescent="0.25">
      <c r="BO668" s="6"/>
      <c r="BP668" s="7"/>
      <c r="BQ668" s="1"/>
      <c r="BR668" s="1"/>
    </row>
    <row r="669" spans="67:70" ht="15.75" customHeight="1" x14ac:dyDescent="0.25">
      <c r="BO669" s="6"/>
      <c r="BP669" s="7"/>
      <c r="BQ669" s="1"/>
      <c r="BR669" s="1"/>
    </row>
    <row r="670" spans="67:70" ht="15.75" customHeight="1" x14ac:dyDescent="0.25">
      <c r="BO670" s="6"/>
      <c r="BP670" s="7"/>
      <c r="BQ670" s="1"/>
      <c r="BR670" s="1"/>
    </row>
    <row r="671" spans="67:70" ht="15.75" customHeight="1" x14ac:dyDescent="0.25">
      <c r="BO671" s="6"/>
      <c r="BP671" s="7"/>
      <c r="BQ671" s="1"/>
      <c r="BR671" s="1"/>
    </row>
    <row r="672" spans="67:70" ht="15.75" customHeight="1" x14ac:dyDescent="0.25">
      <c r="BO672" s="6"/>
      <c r="BP672" s="7"/>
      <c r="BQ672" s="1"/>
      <c r="BR672" s="1"/>
    </row>
    <row r="673" spans="67:70" ht="15.75" customHeight="1" x14ac:dyDescent="0.25">
      <c r="BO673" s="6"/>
      <c r="BP673" s="7"/>
      <c r="BQ673" s="1"/>
      <c r="BR673" s="1"/>
    </row>
    <row r="674" spans="67:70" ht="15.75" customHeight="1" x14ac:dyDescent="0.25">
      <c r="BO674" s="6"/>
      <c r="BP674" s="7"/>
      <c r="BQ674" s="1"/>
      <c r="BR674" s="1"/>
    </row>
    <row r="675" spans="67:70" ht="15.75" customHeight="1" x14ac:dyDescent="0.25">
      <c r="BO675" s="6"/>
      <c r="BP675" s="7"/>
      <c r="BQ675" s="1"/>
      <c r="BR675" s="1"/>
    </row>
    <row r="676" spans="67:70" ht="15.75" customHeight="1" x14ac:dyDescent="0.25">
      <c r="BO676" s="6"/>
      <c r="BP676" s="7"/>
      <c r="BQ676" s="1"/>
      <c r="BR676" s="1"/>
    </row>
    <row r="677" spans="67:70" ht="15.75" customHeight="1" x14ac:dyDescent="0.25">
      <c r="BO677" s="6"/>
      <c r="BP677" s="7"/>
      <c r="BQ677" s="1"/>
      <c r="BR677" s="1"/>
    </row>
    <row r="678" spans="67:70" ht="15.75" customHeight="1" x14ac:dyDescent="0.25">
      <c r="BO678" s="6"/>
      <c r="BP678" s="7"/>
      <c r="BQ678" s="1"/>
      <c r="BR678" s="1"/>
    </row>
    <row r="679" spans="67:70" ht="15.75" customHeight="1" x14ac:dyDescent="0.25">
      <c r="BO679" s="6"/>
      <c r="BP679" s="7"/>
      <c r="BQ679" s="1"/>
      <c r="BR679" s="1"/>
    </row>
    <row r="680" spans="67:70" ht="15.75" customHeight="1" x14ac:dyDescent="0.25">
      <c r="BO680" s="6"/>
      <c r="BP680" s="7"/>
      <c r="BQ680" s="1"/>
      <c r="BR680" s="1"/>
    </row>
    <row r="681" spans="67:70" ht="15.75" customHeight="1" x14ac:dyDescent="0.25">
      <c r="BO681" s="6"/>
      <c r="BP681" s="7"/>
      <c r="BQ681" s="1"/>
      <c r="BR681" s="1"/>
    </row>
    <row r="682" spans="67:70" ht="15.75" customHeight="1" x14ac:dyDescent="0.25">
      <c r="BO682" s="6"/>
      <c r="BP682" s="7"/>
      <c r="BQ682" s="1"/>
      <c r="BR682" s="1"/>
    </row>
    <row r="683" spans="67:70" ht="15.75" customHeight="1" x14ac:dyDescent="0.25">
      <c r="BO683" s="6"/>
      <c r="BP683" s="7"/>
      <c r="BQ683" s="1"/>
      <c r="BR683" s="1"/>
    </row>
    <row r="684" spans="67:70" ht="15.75" customHeight="1" x14ac:dyDescent="0.25">
      <c r="BO684" s="6"/>
      <c r="BP684" s="7"/>
      <c r="BQ684" s="1"/>
      <c r="BR684" s="1"/>
    </row>
    <row r="685" spans="67:70" ht="15.75" customHeight="1" x14ac:dyDescent="0.25">
      <c r="BO685" s="6"/>
      <c r="BP685" s="7"/>
      <c r="BQ685" s="1"/>
      <c r="BR685" s="1"/>
    </row>
    <row r="686" spans="67:70" ht="15.75" customHeight="1" x14ac:dyDescent="0.25">
      <c r="BO686" s="6"/>
      <c r="BP686" s="7"/>
      <c r="BQ686" s="1"/>
      <c r="BR686" s="1"/>
    </row>
    <row r="687" spans="67:70" ht="15.75" customHeight="1" x14ac:dyDescent="0.25">
      <c r="BO687" s="6"/>
      <c r="BP687" s="7"/>
      <c r="BQ687" s="1"/>
      <c r="BR687" s="1"/>
    </row>
    <row r="688" spans="67:70" ht="15.75" customHeight="1" x14ac:dyDescent="0.25">
      <c r="BO688" s="6"/>
      <c r="BP688" s="7"/>
      <c r="BQ688" s="1"/>
      <c r="BR688" s="1"/>
    </row>
    <row r="689" spans="67:70" ht="15.75" customHeight="1" x14ac:dyDescent="0.25">
      <c r="BO689" s="6"/>
      <c r="BP689" s="7"/>
      <c r="BQ689" s="1"/>
      <c r="BR689" s="1"/>
    </row>
    <row r="690" spans="67:70" ht="15.75" customHeight="1" x14ac:dyDescent="0.25">
      <c r="BO690" s="6"/>
      <c r="BP690" s="7"/>
      <c r="BQ690" s="1"/>
      <c r="BR690" s="1"/>
    </row>
    <row r="691" spans="67:70" ht="15.75" customHeight="1" x14ac:dyDescent="0.25">
      <c r="BO691" s="6"/>
      <c r="BP691" s="7"/>
      <c r="BQ691" s="1"/>
      <c r="BR691" s="1"/>
    </row>
    <row r="692" spans="67:70" ht="15.75" customHeight="1" x14ac:dyDescent="0.25">
      <c r="BO692" s="6"/>
      <c r="BP692" s="7"/>
      <c r="BQ692" s="1"/>
      <c r="BR692" s="1"/>
    </row>
    <row r="693" spans="67:70" ht="15.75" customHeight="1" x14ac:dyDescent="0.25">
      <c r="BO693" s="6"/>
      <c r="BP693" s="7"/>
      <c r="BQ693" s="1"/>
      <c r="BR693" s="1"/>
    </row>
    <row r="694" spans="67:70" ht="15.75" customHeight="1" x14ac:dyDescent="0.25">
      <c r="BO694" s="6"/>
      <c r="BP694" s="7"/>
      <c r="BQ694" s="1"/>
      <c r="BR694" s="1"/>
    </row>
    <row r="695" spans="67:70" ht="15.75" customHeight="1" x14ac:dyDescent="0.25">
      <c r="BO695" s="6"/>
      <c r="BP695" s="7"/>
      <c r="BQ695" s="1"/>
      <c r="BR695" s="1"/>
    </row>
    <row r="696" spans="67:70" ht="15.75" customHeight="1" x14ac:dyDescent="0.25">
      <c r="BO696" s="6"/>
      <c r="BP696" s="7"/>
      <c r="BQ696" s="1"/>
      <c r="BR696" s="1"/>
    </row>
    <row r="697" spans="67:70" ht="15.75" customHeight="1" x14ac:dyDescent="0.25">
      <c r="BO697" s="6"/>
      <c r="BP697" s="7"/>
      <c r="BQ697" s="1"/>
      <c r="BR697" s="1"/>
    </row>
    <row r="698" spans="67:70" ht="15.75" customHeight="1" x14ac:dyDescent="0.25">
      <c r="BO698" s="6"/>
      <c r="BP698" s="7"/>
      <c r="BQ698" s="1"/>
      <c r="BR698" s="1"/>
    </row>
    <row r="699" spans="67:70" ht="15.75" customHeight="1" x14ac:dyDescent="0.25">
      <c r="BO699" s="6"/>
      <c r="BP699" s="7"/>
      <c r="BQ699" s="1"/>
      <c r="BR699" s="1"/>
    </row>
    <row r="700" spans="67:70" ht="15.75" customHeight="1" x14ac:dyDescent="0.25">
      <c r="BO700" s="6"/>
      <c r="BP700" s="7"/>
      <c r="BQ700" s="1"/>
      <c r="BR700" s="1"/>
    </row>
    <row r="701" spans="67:70" ht="15.75" customHeight="1" x14ac:dyDescent="0.25">
      <c r="BO701" s="6"/>
      <c r="BP701" s="7"/>
      <c r="BQ701" s="1"/>
      <c r="BR701" s="1"/>
    </row>
    <row r="702" spans="67:70" ht="15.75" customHeight="1" x14ac:dyDescent="0.25">
      <c r="BO702" s="6"/>
      <c r="BP702" s="7"/>
      <c r="BQ702" s="1"/>
      <c r="BR702" s="1"/>
    </row>
    <row r="703" spans="67:70" ht="15.75" customHeight="1" x14ac:dyDescent="0.25">
      <c r="BO703" s="6"/>
      <c r="BP703" s="7"/>
      <c r="BQ703" s="1"/>
      <c r="BR703" s="1"/>
    </row>
    <row r="704" spans="67:70" ht="15.75" customHeight="1" x14ac:dyDescent="0.25">
      <c r="BO704" s="6"/>
      <c r="BP704" s="7"/>
      <c r="BQ704" s="1"/>
      <c r="BR704" s="1"/>
    </row>
    <row r="705" spans="67:70" ht="15.75" customHeight="1" x14ac:dyDescent="0.25">
      <c r="BO705" s="6"/>
      <c r="BP705" s="7"/>
      <c r="BQ705" s="1"/>
      <c r="BR705" s="1"/>
    </row>
    <row r="706" spans="67:70" ht="15.75" customHeight="1" x14ac:dyDescent="0.25">
      <c r="BO706" s="6"/>
      <c r="BP706" s="7"/>
      <c r="BQ706" s="1"/>
      <c r="BR706" s="1"/>
    </row>
    <row r="707" spans="67:70" ht="15.75" customHeight="1" x14ac:dyDescent="0.25">
      <c r="BO707" s="6"/>
      <c r="BP707" s="7"/>
      <c r="BQ707" s="1"/>
      <c r="BR707" s="1"/>
    </row>
    <row r="708" spans="67:70" ht="15.75" customHeight="1" x14ac:dyDescent="0.25">
      <c r="BO708" s="6"/>
      <c r="BP708" s="7"/>
      <c r="BQ708" s="1"/>
      <c r="BR708" s="1"/>
    </row>
    <row r="709" spans="67:70" ht="15.75" customHeight="1" x14ac:dyDescent="0.25">
      <c r="BO709" s="6"/>
      <c r="BP709" s="7"/>
      <c r="BQ709" s="1"/>
      <c r="BR709" s="1"/>
    </row>
    <row r="710" spans="67:70" ht="15.75" customHeight="1" x14ac:dyDescent="0.25">
      <c r="BO710" s="6"/>
      <c r="BP710" s="7"/>
      <c r="BQ710" s="1"/>
      <c r="BR710" s="1"/>
    </row>
    <row r="711" spans="67:70" ht="15.75" customHeight="1" x14ac:dyDescent="0.25">
      <c r="BO711" s="6"/>
      <c r="BP711" s="7"/>
      <c r="BQ711" s="1"/>
      <c r="BR711" s="1"/>
    </row>
    <row r="712" spans="67:70" ht="15.75" customHeight="1" x14ac:dyDescent="0.25">
      <c r="BO712" s="6"/>
      <c r="BP712" s="7"/>
      <c r="BQ712" s="1"/>
      <c r="BR712" s="1"/>
    </row>
    <row r="713" spans="67:70" ht="15.75" customHeight="1" x14ac:dyDescent="0.25">
      <c r="BO713" s="6"/>
      <c r="BP713" s="7"/>
      <c r="BQ713" s="1"/>
      <c r="BR713" s="1"/>
    </row>
    <row r="714" spans="67:70" ht="15.75" customHeight="1" x14ac:dyDescent="0.25">
      <c r="BO714" s="6"/>
      <c r="BP714" s="7"/>
      <c r="BQ714" s="1"/>
      <c r="BR714" s="1"/>
    </row>
    <row r="715" spans="67:70" ht="15.75" customHeight="1" x14ac:dyDescent="0.25">
      <c r="BO715" s="6"/>
      <c r="BP715" s="7"/>
      <c r="BQ715" s="1"/>
      <c r="BR715" s="1"/>
    </row>
    <row r="716" spans="67:70" ht="15.75" customHeight="1" x14ac:dyDescent="0.25">
      <c r="BO716" s="6"/>
      <c r="BP716" s="7"/>
      <c r="BQ716" s="1"/>
      <c r="BR716" s="1"/>
    </row>
    <row r="717" spans="67:70" ht="15.75" customHeight="1" x14ac:dyDescent="0.25">
      <c r="BO717" s="6"/>
      <c r="BP717" s="7"/>
      <c r="BQ717" s="1"/>
      <c r="BR717" s="1"/>
    </row>
    <row r="718" spans="67:70" ht="15.75" customHeight="1" x14ac:dyDescent="0.25">
      <c r="BO718" s="6"/>
      <c r="BP718" s="7"/>
      <c r="BQ718" s="1"/>
      <c r="BR718" s="1"/>
    </row>
    <row r="719" spans="67:70" ht="15.75" customHeight="1" x14ac:dyDescent="0.25">
      <c r="BO719" s="6"/>
      <c r="BP719" s="7"/>
      <c r="BQ719" s="1"/>
      <c r="BR719" s="1"/>
    </row>
    <row r="720" spans="67:70" ht="15.75" customHeight="1" x14ac:dyDescent="0.25">
      <c r="BO720" s="6"/>
      <c r="BP720" s="7"/>
      <c r="BQ720" s="1"/>
      <c r="BR720" s="1"/>
    </row>
    <row r="721" spans="67:70" ht="15.75" customHeight="1" x14ac:dyDescent="0.25">
      <c r="BO721" s="6"/>
      <c r="BP721" s="7"/>
      <c r="BQ721" s="1"/>
      <c r="BR721" s="1"/>
    </row>
    <row r="722" spans="67:70" ht="15.75" customHeight="1" x14ac:dyDescent="0.25">
      <c r="BO722" s="6"/>
      <c r="BP722" s="7"/>
      <c r="BQ722" s="1"/>
      <c r="BR722" s="1"/>
    </row>
    <row r="723" spans="67:70" ht="15.75" customHeight="1" x14ac:dyDescent="0.25">
      <c r="BO723" s="6"/>
      <c r="BP723" s="7"/>
      <c r="BQ723" s="1"/>
      <c r="BR723" s="1"/>
    </row>
    <row r="724" spans="67:70" ht="15.75" customHeight="1" x14ac:dyDescent="0.25">
      <c r="BO724" s="6"/>
      <c r="BP724" s="7"/>
      <c r="BQ724" s="1"/>
      <c r="BR724" s="1"/>
    </row>
    <row r="725" spans="67:70" ht="15.75" customHeight="1" x14ac:dyDescent="0.25">
      <c r="BO725" s="6"/>
      <c r="BP725" s="7"/>
      <c r="BQ725" s="1"/>
      <c r="BR725" s="1"/>
    </row>
    <row r="726" spans="67:70" ht="15.75" customHeight="1" x14ac:dyDescent="0.25">
      <c r="BO726" s="6"/>
      <c r="BP726" s="7"/>
      <c r="BQ726" s="1"/>
      <c r="BR726" s="1"/>
    </row>
    <row r="727" spans="67:70" ht="15.75" customHeight="1" x14ac:dyDescent="0.25">
      <c r="BO727" s="6"/>
      <c r="BP727" s="7"/>
      <c r="BQ727" s="1"/>
      <c r="BR727" s="1"/>
    </row>
    <row r="728" spans="67:70" ht="15.75" customHeight="1" x14ac:dyDescent="0.25">
      <c r="BO728" s="6"/>
      <c r="BP728" s="7"/>
      <c r="BQ728" s="1"/>
      <c r="BR728" s="1"/>
    </row>
    <row r="729" spans="67:70" ht="15.75" customHeight="1" x14ac:dyDescent="0.25">
      <c r="BO729" s="6"/>
      <c r="BP729" s="7"/>
      <c r="BQ729" s="1"/>
      <c r="BR729" s="1"/>
    </row>
    <row r="730" spans="67:70" ht="15.75" customHeight="1" x14ac:dyDescent="0.25">
      <c r="BO730" s="6"/>
      <c r="BP730" s="7"/>
      <c r="BQ730" s="1"/>
      <c r="BR730" s="1"/>
    </row>
    <row r="731" spans="67:70" ht="15.75" customHeight="1" x14ac:dyDescent="0.25">
      <c r="BO731" s="6"/>
      <c r="BP731" s="7"/>
      <c r="BQ731" s="1"/>
      <c r="BR731" s="1"/>
    </row>
    <row r="732" spans="67:70" ht="15.75" customHeight="1" x14ac:dyDescent="0.25">
      <c r="BO732" s="6"/>
      <c r="BP732" s="7"/>
      <c r="BQ732" s="1"/>
      <c r="BR732" s="1"/>
    </row>
    <row r="733" spans="67:70" ht="15.75" customHeight="1" x14ac:dyDescent="0.25">
      <c r="BO733" s="6"/>
      <c r="BP733" s="7"/>
      <c r="BQ733" s="1"/>
      <c r="BR733" s="1"/>
    </row>
    <row r="734" spans="67:70" ht="15.75" customHeight="1" x14ac:dyDescent="0.25">
      <c r="BO734" s="6"/>
      <c r="BP734" s="7"/>
      <c r="BQ734" s="1"/>
      <c r="BR734" s="1"/>
    </row>
    <row r="735" spans="67:70" ht="15.75" customHeight="1" x14ac:dyDescent="0.25">
      <c r="BO735" s="6"/>
      <c r="BP735" s="7"/>
      <c r="BQ735" s="1"/>
      <c r="BR735" s="1"/>
    </row>
    <row r="736" spans="67:70" ht="15.75" customHeight="1" x14ac:dyDescent="0.25">
      <c r="BO736" s="6"/>
      <c r="BP736" s="7"/>
      <c r="BQ736" s="1"/>
      <c r="BR736" s="1"/>
    </row>
    <row r="737" spans="67:70" ht="15.75" customHeight="1" x14ac:dyDescent="0.25">
      <c r="BO737" s="6"/>
      <c r="BP737" s="7"/>
      <c r="BQ737" s="1"/>
      <c r="BR737" s="1"/>
    </row>
    <row r="738" spans="67:70" ht="15.75" customHeight="1" x14ac:dyDescent="0.25">
      <c r="BO738" s="6"/>
      <c r="BP738" s="7"/>
      <c r="BQ738" s="1"/>
      <c r="BR738" s="1"/>
    </row>
    <row r="739" spans="67:70" ht="15.75" customHeight="1" x14ac:dyDescent="0.25">
      <c r="BO739" s="6"/>
      <c r="BP739" s="7"/>
      <c r="BQ739" s="1"/>
      <c r="BR739" s="1"/>
    </row>
    <row r="740" spans="67:70" ht="15.75" customHeight="1" x14ac:dyDescent="0.25">
      <c r="BO740" s="6"/>
      <c r="BP740" s="7"/>
      <c r="BQ740" s="1"/>
      <c r="BR740" s="1"/>
    </row>
    <row r="741" spans="67:70" ht="15.75" customHeight="1" x14ac:dyDescent="0.25">
      <c r="BO741" s="6"/>
      <c r="BP741" s="7"/>
      <c r="BQ741" s="1"/>
      <c r="BR741" s="1"/>
    </row>
    <row r="742" spans="67:70" ht="15.75" customHeight="1" x14ac:dyDescent="0.25">
      <c r="BO742" s="6"/>
      <c r="BP742" s="7"/>
      <c r="BQ742" s="1"/>
      <c r="BR742" s="1"/>
    </row>
    <row r="743" spans="67:70" ht="15.75" customHeight="1" x14ac:dyDescent="0.25">
      <c r="BO743" s="6"/>
      <c r="BP743" s="7"/>
      <c r="BQ743" s="1"/>
      <c r="BR743" s="1"/>
    </row>
    <row r="744" spans="67:70" ht="15.75" customHeight="1" x14ac:dyDescent="0.25">
      <c r="BO744" s="6"/>
      <c r="BP744" s="7"/>
      <c r="BQ744" s="1"/>
      <c r="BR744" s="1"/>
    </row>
    <row r="745" spans="67:70" ht="15.75" customHeight="1" x14ac:dyDescent="0.25">
      <c r="BO745" s="6"/>
      <c r="BP745" s="7"/>
      <c r="BQ745" s="1"/>
      <c r="BR745" s="1"/>
    </row>
    <row r="746" spans="67:70" ht="15.75" customHeight="1" x14ac:dyDescent="0.25">
      <c r="BO746" s="6"/>
      <c r="BP746" s="7"/>
      <c r="BQ746" s="1"/>
      <c r="BR746" s="1"/>
    </row>
    <row r="747" spans="67:70" ht="15.75" customHeight="1" x14ac:dyDescent="0.25">
      <c r="BO747" s="6"/>
      <c r="BP747" s="7"/>
      <c r="BQ747" s="1"/>
      <c r="BR747" s="1"/>
    </row>
    <row r="748" spans="67:70" ht="15.75" customHeight="1" x14ac:dyDescent="0.25">
      <c r="BO748" s="6"/>
      <c r="BP748" s="7"/>
      <c r="BQ748" s="1"/>
      <c r="BR748" s="1"/>
    </row>
    <row r="749" spans="67:70" ht="15.75" customHeight="1" x14ac:dyDescent="0.25">
      <c r="BO749" s="6"/>
      <c r="BP749" s="7"/>
      <c r="BQ749" s="1"/>
      <c r="BR749" s="1"/>
    </row>
    <row r="750" spans="67:70" ht="15.75" customHeight="1" x14ac:dyDescent="0.25">
      <c r="BO750" s="6"/>
      <c r="BP750" s="7"/>
      <c r="BQ750" s="1"/>
      <c r="BR750" s="1"/>
    </row>
    <row r="751" spans="67:70" ht="15.75" customHeight="1" x14ac:dyDescent="0.25">
      <c r="BO751" s="6"/>
      <c r="BP751" s="7"/>
      <c r="BQ751" s="1"/>
      <c r="BR751" s="1"/>
    </row>
    <row r="752" spans="67:70" ht="15.75" customHeight="1" x14ac:dyDescent="0.25">
      <c r="BO752" s="6"/>
      <c r="BP752" s="7"/>
      <c r="BQ752" s="1"/>
      <c r="BR752" s="1"/>
    </row>
    <row r="753" spans="67:70" ht="15.75" customHeight="1" x14ac:dyDescent="0.25">
      <c r="BO753" s="6"/>
      <c r="BP753" s="7"/>
      <c r="BQ753" s="1"/>
      <c r="BR753" s="1"/>
    </row>
    <row r="754" spans="67:70" ht="15.75" customHeight="1" x14ac:dyDescent="0.25">
      <c r="BO754" s="6"/>
      <c r="BP754" s="7"/>
      <c r="BQ754" s="1"/>
      <c r="BR754" s="1"/>
    </row>
    <row r="755" spans="67:70" ht="15.75" customHeight="1" x14ac:dyDescent="0.25">
      <c r="BO755" s="6"/>
      <c r="BP755" s="7"/>
      <c r="BQ755" s="1"/>
      <c r="BR755" s="1"/>
    </row>
    <row r="756" spans="67:70" ht="15.75" customHeight="1" x14ac:dyDescent="0.25">
      <c r="BO756" s="6"/>
      <c r="BP756" s="7"/>
      <c r="BQ756" s="1"/>
      <c r="BR756" s="1"/>
    </row>
    <row r="757" spans="67:70" ht="15.75" customHeight="1" x14ac:dyDescent="0.25">
      <c r="BO757" s="6"/>
      <c r="BP757" s="7"/>
      <c r="BQ757" s="1"/>
      <c r="BR757" s="1"/>
    </row>
    <row r="758" spans="67:70" ht="15.75" customHeight="1" x14ac:dyDescent="0.25">
      <c r="BO758" s="6"/>
      <c r="BP758" s="7"/>
      <c r="BQ758" s="1"/>
      <c r="BR758" s="1"/>
    </row>
    <row r="759" spans="67:70" ht="15.75" customHeight="1" x14ac:dyDescent="0.25">
      <c r="BO759" s="6"/>
      <c r="BP759" s="7"/>
      <c r="BQ759" s="1"/>
      <c r="BR759" s="1"/>
    </row>
    <row r="760" spans="67:70" ht="15.75" customHeight="1" x14ac:dyDescent="0.25">
      <c r="BO760" s="6"/>
      <c r="BP760" s="7"/>
      <c r="BQ760" s="1"/>
      <c r="BR760" s="1"/>
    </row>
    <row r="761" spans="67:70" ht="15.75" customHeight="1" x14ac:dyDescent="0.25">
      <c r="BO761" s="6"/>
      <c r="BP761" s="7"/>
      <c r="BQ761" s="1"/>
      <c r="BR761" s="1"/>
    </row>
    <row r="762" spans="67:70" ht="15.75" customHeight="1" x14ac:dyDescent="0.25">
      <c r="BO762" s="6"/>
      <c r="BP762" s="7"/>
      <c r="BQ762" s="1"/>
      <c r="BR762" s="1"/>
    </row>
    <row r="763" spans="67:70" ht="15.75" customHeight="1" x14ac:dyDescent="0.25">
      <c r="BO763" s="6"/>
      <c r="BP763" s="7"/>
      <c r="BQ763" s="1"/>
      <c r="BR763" s="1"/>
    </row>
    <row r="764" spans="67:70" ht="15.75" customHeight="1" x14ac:dyDescent="0.25">
      <c r="BO764" s="6"/>
      <c r="BP764" s="7"/>
      <c r="BQ764" s="1"/>
      <c r="BR764" s="1"/>
    </row>
    <row r="765" spans="67:70" ht="15.75" customHeight="1" x14ac:dyDescent="0.25">
      <c r="BO765" s="6"/>
      <c r="BP765" s="7"/>
      <c r="BQ765" s="1"/>
      <c r="BR765" s="1"/>
    </row>
    <row r="766" spans="67:70" ht="15.75" customHeight="1" x14ac:dyDescent="0.25">
      <c r="BO766" s="6"/>
      <c r="BP766" s="7"/>
      <c r="BQ766" s="1"/>
      <c r="BR766" s="1"/>
    </row>
    <row r="767" spans="67:70" ht="15.75" customHeight="1" x14ac:dyDescent="0.25">
      <c r="BO767" s="6"/>
      <c r="BP767" s="7"/>
      <c r="BQ767" s="1"/>
      <c r="BR767" s="1"/>
    </row>
    <row r="768" spans="67:70" ht="15.75" customHeight="1" x14ac:dyDescent="0.25">
      <c r="BO768" s="6"/>
      <c r="BP768" s="7"/>
      <c r="BQ768" s="1"/>
      <c r="BR768" s="1"/>
    </row>
    <row r="769" spans="67:70" ht="15.75" customHeight="1" x14ac:dyDescent="0.25">
      <c r="BO769" s="6"/>
      <c r="BP769" s="7"/>
      <c r="BQ769" s="1"/>
      <c r="BR769" s="1"/>
    </row>
    <row r="770" spans="67:70" ht="15.75" customHeight="1" x14ac:dyDescent="0.25">
      <c r="BO770" s="6"/>
      <c r="BP770" s="7"/>
      <c r="BQ770" s="1"/>
      <c r="BR770" s="1"/>
    </row>
    <row r="771" spans="67:70" ht="15.75" customHeight="1" x14ac:dyDescent="0.25">
      <c r="BO771" s="6"/>
      <c r="BP771" s="7"/>
      <c r="BQ771" s="1"/>
      <c r="BR771" s="1"/>
    </row>
    <row r="772" spans="67:70" ht="15.75" customHeight="1" x14ac:dyDescent="0.25">
      <c r="BO772" s="6"/>
      <c r="BP772" s="7"/>
      <c r="BQ772" s="1"/>
      <c r="BR772" s="1"/>
    </row>
    <row r="773" spans="67:70" ht="15.75" customHeight="1" x14ac:dyDescent="0.25">
      <c r="BO773" s="6"/>
      <c r="BP773" s="7"/>
      <c r="BQ773" s="1"/>
      <c r="BR773" s="1"/>
    </row>
    <row r="774" spans="67:70" ht="15.75" customHeight="1" x14ac:dyDescent="0.25">
      <c r="BO774" s="6"/>
      <c r="BP774" s="7"/>
      <c r="BQ774" s="1"/>
      <c r="BR774" s="1"/>
    </row>
    <row r="775" spans="67:70" ht="15.75" customHeight="1" x14ac:dyDescent="0.25">
      <c r="BO775" s="6"/>
      <c r="BP775" s="7"/>
      <c r="BQ775" s="1"/>
      <c r="BR775" s="1"/>
    </row>
    <row r="776" spans="67:70" ht="15.75" customHeight="1" x14ac:dyDescent="0.25">
      <c r="BO776" s="6"/>
      <c r="BP776" s="7"/>
      <c r="BQ776" s="1"/>
      <c r="BR776" s="1"/>
    </row>
    <row r="777" spans="67:70" ht="15.75" customHeight="1" x14ac:dyDescent="0.25">
      <c r="BO777" s="6"/>
      <c r="BP777" s="7"/>
      <c r="BQ777" s="1"/>
      <c r="BR777" s="1"/>
    </row>
    <row r="778" spans="67:70" ht="15.75" customHeight="1" x14ac:dyDescent="0.25">
      <c r="BO778" s="6"/>
      <c r="BP778" s="7"/>
      <c r="BQ778" s="1"/>
      <c r="BR778" s="1"/>
    </row>
    <row r="779" spans="67:70" ht="15.75" customHeight="1" x14ac:dyDescent="0.25">
      <c r="BO779" s="6"/>
      <c r="BP779" s="7"/>
      <c r="BQ779" s="1"/>
      <c r="BR779" s="1"/>
    </row>
    <row r="780" spans="67:70" ht="15.75" customHeight="1" x14ac:dyDescent="0.25">
      <c r="BO780" s="6"/>
      <c r="BP780" s="7"/>
      <c r="BQ780" s="1"/>
      <c r="BR780" s="1"/>
    </row>
    <row r="781" spans="67:70" ht="15.75" customHeight="1" x14ac:dyDescent="0.25">
      <c r="BO781" s="6"/>
      <c r="BP781" s="7"/>
      <c r="BQ781" s="1"/>
      <c r="BR781" s="1"/>
    </row>
    <row r="782" spans="67:70" ht="15.75" customHeight="1" x14ac:dyDescent="0.25">
      <c r="BO782" s="6"/>
      <c r="BP782" s="7"/>
      <c r="BQ782" s="1"/>
      <c r="BR782" s="1"/>
    </row>
    <row r="783" spans="67:70" ht="15.75" customHeight="1" x14ac:dyDescent="0.25">
      <c r="BO783" s="6"/>
      <c r="BP783" s="7"/>
      <c r="BQ783" s="1"/>
      <c r="BR783" s="1"/>
    </row>
    <row r="784" spans="67:70" ht="15.75" customHeight="1" x14ac:dyDescent="0.25">
      <c r="BO784" s="6"/>
      <c r="BP784" s="7"/>
      <c r="BQ784" s="1"/>
      <c r="BR784" s="1"/>
    </row>
    <row r="785" spans="67:70" ht="15.75" customHeight="1" x14ac:dyDescent="0.25">
      <c r="BO785" s="6"/>
      <c r="BP785" s="7"/>
      <c r="BQ785" s="1"/>
      <c r="BR785" s="1"/>
    </row>
    <row r="786" spans="67:70" ht="15.75" customHeight="1" x14ac:dyDescent="0.25">
      <c r="BO786" s="6"/>
      <c r="BP786" s="7"/>
      <c r="BQ786" s="1"/>
      <c r="BR786" s="1"/>
    </row>
    <row r="787" spans="67:70" ht="15.75" customHeight="1" x14ac:dyDescent="0.25">
      <c r="BO787" s="6"/>
      <c r="BP787" s="7"/>
      <c r="BQ787" s="1"/>
      <c r="BR787" s="1"/>
    </row>
    <row r="788" spans="67:70" ht="15.75" customHeight="1" x14ac:dyDescent="0.25">
      <c r="BO788" s="6"/>
      <c r="BP788" s="7"/>
      <c r="BQ788" s="1"/>
      <c r="BR788" s="1"/>
    </row>
    <row r="789" spans="67:70" ht="15.75" customHeight="1" x14ac:dyDescent="0.25">
      <c r="BO789" s="6"/>
      <c r="BP789" s="7"/>
      <c r="BQ789" s="1"/>
      <c r="BR789" s="1"/>
    </row>
    <row r="790" spans="67:70" ht="15.75" customHeight="1" x14ac:dyDescent="0.25">
      <c r="BO790" s="6"/>
      <c r="BP790" s="7"/>
      <c r="BQ790" s="1"/>
      <c r="BR790" s="1"/>
    </row>
    <row r="791" spans="67:70" ht="15.75" customHeight="1" x14ac:dyDescent="0.25">
      <c r="BO791" s="6"/>
      <c r="BP791" s="7"/>
      <c r="BQ791" s="1"/>
      <c r="BR791" s="1"/>
    </row>
    <row r="792" spans="67:70" ht="15.75" customHeight="1" x14ac:dyDescent="0.25">
      <c r="BO792" s="6"/>
      <c r="BP792" s="7"/>
      <c r="BQ792" s="1"/>
      <c r="BR792" s="1"/>
    </row>
    <row r="793" spans="67:70" ht="15.75" customHeight="1" x14ac:dyDescent="0.25">
      <c r="BO793" s="6"/>
      <c r="BP793" s="7"/>
      <c r="BQ793" s="1"/>
      <c r="BR793" s="1"/>
    </row>
    <row r="794" spans="67:70" ht="15.75" customHeight="1" x14ac:dyDescent="0.25">
      <c r="BO794" s="6"/>
      <c r="BP794" s="7"/>
      <c r="BQ794" s="1"/>
      <c r="BR794" s="1"/>
    </row>
    <row r="795" spans="67:70" ht="15.75" customHeight="1" x14ac:dyDescent="0.25">
      <c r="BO795" s="6"/>
      <c r="BP795" s="7"/>
      <c r="BQ795" s="1"/>
      <c r="BR795" s="1"/>
    </row>
    <row r="796" spans="67:70" ht="15.75" customHeight="1" x14ac:dyDescent="0.25">
      <c r="BO796" s="6"/>
      <c r="BP796" s="7"/>
      <c r="BQ796" s="1"/>
      <c r="BR796" s="1"/>
    </row>
    <row r="797" spans="67:70" ht="15.75" customHeight="1" x14ac:dyDescent="0.25">
      <c r="BO797" s="6"/>
      <c r="BP797" s="7"/>
      <c r="BQ797" s="1"/>
      <c r="BR797" s="1"/>
    </row>
    <row r="798" spans="67:70" ht="15.75" customHeight="1" x14ac:dyDescent="0.25">
      <c r="BO798" s="6"/>
      <c r="BP798" s="7"/>
      <c r="BQ798" s="1"/>
      <c r="BR798" s="1"/>
    </row>
    <row r="799" spans="67:70" ht="15.75" customHeight="1" x14ac:dyDescent="0.25">
      <c r="BO799" s="6"/>
      <c r="BP799" s="7"/>
      <c r="BQ799" s="1"/>
      <c r="BR799" s="1"/>
    </row>
    <row r="800" spans="67:70" ht="15.75" customHeight="1" x14ac:dyDescent="0.25">
      <c r="BO800" s="6"/>
      <c r="BP800" s="7"/>
      <c r="BQ800" s="1"/>
      <c r="BR800" s="1"/>
    </row>
    <row r="801" spans="67:70" ht="15.75" customHeight="1" x14ac:dyDescent="0.25">
      <c r="BO801" s="6"/>
      <c r="BP801" s="7"/>
      <c r="BQ801" s="1"/>
      <c r="BR801" s="1"/>
    </row>
    <row r="802" spans="67:70" ht="15.75" customHeight="1" x14ac:dyDescent="0.25">
      <c r="BO802" s="6"/>
      <c r="BP802" s="7"/>
      <c r="BQ802" s="1"/>
      <c r="BR802" s="1"/>
    </row>
    <row r="803" spans="67:70" ht="15.75" customHeight="1" x14ac:dyDescent="0.25">
      <c r="BO803" s="6"/>
      <c r="BP803" s="7"/>
      <c r="BQ803" s="1"/>
      <c r="BR803" s="1"/>
    </row>
    <row r="804" spans="67:70" ht="15.75" customHeight="1" x14ac:dyDescent="0.25">
      <c r="BO804" s="6"/>
      <c r="BP804" s="7"/>
      <c r="BQ804" s="1"/>
      <c r="BR804" s="1"/>
    </row>
    <row r="805" spans="67:70" ht="15.75" customHeight="1" x14ac:dyDescent="0.25">
      <c r="BO805" s="6"/>
      <c r="BP805" s="7"/>
      <c r="BQ805" s="1"/>
      <c r="BR805" s="1"/>
    </row>
    <row r="806" spans="67:70" ht="15.75" customHeight="1" x14ac:dyDescent="0.25">
      <c r="BO806" s="6"/>
      <c r="BP806" s="7"/>
      <c r="BQ806" s="1"/>
      <c r="BR806" s="1"/>
    </row>
    <row r="807" spans="67:70" ht="15.75" customHeight="1" x14ac:dyDescent="0.25">
      <c r="BO807" s="6"/>
      <c r="BP807" s="7"/>
      <c r="BQ807" s="1"/>
      <c r="BR807" s="1"/>
    </row>
    <row r="808" spans="67:70" ht="15.75" customHeight="1" x14ac:dyDescent="0.25">
      <c r="BO808" s="6"/>
      <c r="BP808" s="7"/>
      <c r="BQ808" s="1"/>
      <c r="BR808" s="1"/>
    </row>
    <row r="809" spans="67:70" ht="15.75" customHeight="1" x14ac:dyDescent="0.25">
      <c r="BO809" s="6"/>
      <c r="BP809" s="7"/>
      <c r="BQ809" s="1"/>
      <c r="BR809" s="1"/>
    </row>
    <row r="810" spans="67:70" ht="15.75" customHeight="1" x14ac:dyDescent="0.25">
      <c r="BO810" s="6"/>
      <c r="BP810" s="7"/>
      <c r="BQ810" s="1"/>
      <c r="BR810" s="1"/>
    </row>
    <row r="811" spans="67:70" ht="15.75" customHeight="1" x14ac:dyDescent="0.25">
      <c r="BO811" s="6"/>
      <c r="BP811" s="7"/>
      <c r="BQ811" s="1"/>
      <c r="BR811" s="1"/>
    </row>
    <row r="812" spans="67:70" ht="15.75" customHeight="1" x14ac:dyDescent="0.25">
      <c r="BO812" s="6"/>
      <c r="BP812" s="7"/>
      <c r="BQ812" s="1"/>
      <c r="BR812" s="1"/>
    </row>
    <row r="813" spans="67:70" ht="15.75" customHeight="1" x14ac:dyDescent="0.25">
      <c r="BO813" s="6"/>
      <c r="BP813" s="7"/>
      <c r="BQ813" s="1"/>
      <c r="BR813" s="1"/>
    </row>
    <row r="814" spans="67:70" ht="15.75" customHeight="1" x14ac:dyDescent="0.25">
      <c r="BO814" s="6"/>
      <c r="BP814" s="7"/>
      <c r="BQ814" s="1"/>
      <c r="BR814" s="1"/>
    </row>
    <row r="815" spans="67:70" ht="15.75" customHeight="1" x14ac:dyDescent="0.25">
      <c r="BO815" s="6"/>
      <c r="BP815" s="7"/>
      <c r="BQ815" s="1"/>
      <c r="BR815" s="1"/>
    </row>
    <row r="816" spans="67:70" ht="15.75" customHeight="1" x14ac:dyDescent="0.25">
      <c r="BO816" s="6"/>
      <c r="BP816" s="7"/>
      <c r="BQ816" s="1"/>
      <c r="BR816" s="1"/>
    </row>
    <row r="817" spans="67:70" ht="15.75" customHeight="1" x14ac:dyDescent="0.25">
      <c r="BO817" s="6"/>
      <c r="BP817" s="7"/>
      <c r="BQ817" s="1"/>
      <c r="BR817" s="1"/>
    </row>
    <row r="818" spans="67:70" ht="15.75" customHeight="1" x14ac:dyDescent="0.25">
      <c r="BO818" s="6"/>
      <c r="BP818" s="7"/>
      <c r="BQ818" s="1"/>
      <c r="BR818" s="1"/>
    </row>
    <row r="819" spans="67:70" ht="15.75" customHeight="1" x14ac:dyDescent="0.25">
      <c r="BO819" s="6"/>
      <c r="BP819" s="7"/>
      <c r="BQ819" s="1"/>
      <c r="BR819" s="1"/>
    </row>
    <row r="820" spans="67:70" ht="15.75" customHeight="1" x14ac:dyDescent="0.25">
      <c r="BO820" s="6"/>
      <c r="BP820" s="7"/>
      <c r="BQ820" s="1"/>
      <c r="BR820" s="1"/>
    </row>
    <row r="821" spans="67:70" ht="15.75" customHeight="1" x14ac:dyDescent="0.25">
      <c r="BO821" s="6"/>
      <c r="BP821" s="7"/>
      <c r="BQ821" s="1"/>
      <c r="BR821" s="1"/>
    </row>
    <row r="822" spans="67:70" ht="15.75" customHeight="1" x14ac:dyDescent="0.25">
      <c r="BO822" s="6"/>
      <c r="BP822" s="7"/>
      <c r="BQ822" s="1"/>
      <c r="BR822" s="1"/>
    </row>
    <row r="823" spans="67:70" ht="15.75" customHeight="1" x14ac:dyDescent="0.25">
      <c r="BO823" s="6"/>
      <c r="BP823" s="7"/>
      <c r="BQ823" s="1"/>
      <c r="BR823" s="1"/>
    </row>
    <row r="824" spans="67:70" ht="15.75" customHeight="1" x14ac:dyDescent="0.25">
      <c r="BO824" s="6"/>
      <c r="BP824" s="7"/>
      <c r="BQ824" s="1"/>
      <c r="BR824" s="1"/>
    </row>
    <row r="825" spans="67:70" ht="15.75" customHeight="1" x14ac:dyDescent="0.25">
      <c r="BO825" s="6"/>
      <c r="BP825" s="7"/>
      <c r="BQ825" s="1"/>
      <c r="BR825" s="1"/>
    </row>
    <row r="826" spans="67:70" ht="15.75" customHeight="1" x14ac:dyDescent="0.25">
      <c r="BO826" s="6"/>
      <c r="BP826" s="7"/>
      <c r="BQ826" s="1"/>
      <c r="BR826" s="1"/>
    </row>
    <row r="827" spans="67:70" ht="15.75" customHeight="1" x14ac:dyDescent="0.25">
      <c r="BO827" s="6"/>
      <c r="BP827" s="7"/>
      <c r="BQ827" s="1"/>
      <c r="BR827" s="1"/>
    </row>
    <row r="828" spans="67:70" ht="15.75" customHeight="1" x14ac:dyDescent="0.25">
      <c r="BO828" s="6"/>
      <c r="BP828" s="7"/>
      <c r="BQ828" s="1"/>
      <c r="BR828" s="1"/>
    </row>
    <row r="829" spans="67:70" ht="15.75" customHeight="1" x14ac:dyDescent="0.25">
      <c r="BO829" s="6"/>
      <c r="BP829" s="7"/>
      <c r="BQ829" s="1"/>
      <c r="BR829" s="1"/>
    </row>
    <row r="830" spans="67:70" ht="15.75" customHeight="1" x14ac:dyDescent="0.25">
      <c r="BO830" s="6"/>
      <c r="BP830" s="7"/>
      <c r="BQ830" s="1"/>
      <c r="BR830" s="1"/>
    </row>
    <row r="831" spans="67:70" ht="15.75" customHeight="1" x14ac:dyDescent="0.25">
      <c r="BO831" s="6"/>
      <c r="BP831" s="7"/>
      <c r="BQ831" s="1"/>
      <c r="BR831" s="1"/>
    </row>
    <row r="832" spans="67:70" ht="15.75" customHeight="1" x14ac:dyDescent="0.25">
      <c r="BO832" s="6"/>
      <c r="BP832" s="7"/>
      <c r="BQ832" s="1"/>
      <c r="BR832" s="1"/>
    </row>
    <row r="833" spans="67:70" ht="15.75" customHeight="1" x14ac:dyDescent="0.25">
      <c r="BO833" s="6"/>
      <c r="BP833" s="7"/>
      <c r="BQ833" s="1"/>
      <c r="BR833" s="1"/>
    </row>
    <row r="834" spans="67:70" ht="15.75" customHeight="1" x14ac:dyDescent="0.25">
      <c r="BO834" s="6"/>
      <c r="BP834" s="7"/>
      <c r="BQ834" s="1"/>
      <c r="BR834" s="1"/>
    </row>
    <row r="835" spans="67:70" ht="15.75" customHeight="1" x14ac:dyDescent="0.25">
      <c r="BO835" s="6"/>
      <c r="BP835" s="7"/>
      <c r="BQ835" s="1"/>
      <c r="BR835" s="1"/>
    </row>
    <row r="836" spans="67:70" ht="15.75" customHeight="1" x14ac:dyDescent="0.25">
      <c r="BO836" s="6"/>
      <c r="BP836" s="7"/>
      <c r="BQ836" s="1"/>
      <c r="BR836" s="1"/>
    </row>
    <row r="837" spans="67:70" ht="15.75" customHeight="1" x14ac:dyDescent="0.25">
      <c r="BO837" s="6"/>
      <c r="BP837" s="7"/>
      <c r="BQ837" s="1"/>
      <c r="BR837" s="1"/>
    </row>
    <row r="838" spans="67:70" ht="15.75" customHeight="1" x14ac:dyDescent="0.25">
      <c r="BO838" s="6"/>
      <c r="BP838" s="7"/>
      <c r="BQ838" s="1"/>
      <c r="BR838" s="1"/>
    </row>
    <row r="839" spans="67:70" ht="15.75" customHeight="1" x14ac:dyDescent="0.25">
      <c r="BO839" s="6"/>
      <c r="BP839" s="7"/>
      <c r="BQ839" s="1"/>
      <c r="BR839" s="1"/>
    </row>
    <row r="840" spans="67:70" ht="15.75" customHeight="1" x14ac:dyDescent="0.25">
      <c r="BO840" s="6"/>
      <c r="BP840" s="7"/>
      <c r="BQ840" s="1"/>
      <c r="BR840" s="1"/>
    </row>
    <row r="841" spans="67:70" ht="15.75" customHeight="1" x14ac:dyDescent="0.25">
      <c r="BO841" s="6"/>
      <c r="BP841" s="7"/>
      <c r="BQ841" s="1"/>
      <c r="BR841" s="1"/>
    </row>
    <row r="842" spans="67:70" ht="15.75" customHeight="1" x14ac:dyDescent="0.25">
      <c r="BO842" s="6"/>
      <c r="BP842" s="7"/>
      <c r="BQ842" s="1"/>
      <c r="BR842" s="1"/>
    </row>
    <row r="843" spans="67:70" ht="15.75" customHeight="1" x14ac:dyDescent="0.25">
      <c r="BO843" s="6"/>
      <c r="BP843" s="7"/>
      <c r="BQ843" s="1"/>
      <c r="BR843" s="1"/>
    </row>
    <row r="844" spans="67:70" ht="15.75" customHeight="1" x14ac:dyDescent="0.25">
      <c r="BO844" s="6"/>
      <c r="BP844" s="7"/>
      <c r="BQ844" s="1"/>
      <c r="BR844" s="1"/>
    </row>
    <row r="845" spans="67:70" ht="15.75" customHeight="1" x14ac:dyDescent="0.25">
      <c r="BO845" s="6"/>
      <c r="BP845" s="7"/>
      <c r="BQ845" s="1"/>
      <c r="BR845" s="1"/>
    </row>
    <row r="846" spans="67:70" ht="15.75" customHeight="1" x14ac:dyDescent="0.25">
      <c r="BO846" s="6"/>
      <c r="BP846" s="7"/>
      <c r="BQ846" s="1"/>
      <c r="BR846" s="1"/>
    </row>
    <row r="847" spans="67:70" ht="15.75" customHeight="1" x14ac:dyDescent="0.25">
      <c r="BO847" s="6"/>
      <c r="BP847" s="7"/>
      <c r="BQ847" s="1"/>
      <c r="BR847" s="1"/>
    </row>
    <row r="848" spans="67:70" ht="15.75" customHeight="1" x14ac:dyDescent="0.25">
      <c r="BO848" s="6"/>
      <c r="BP848" s="7"/>
      <c r="BQ848" s="1"/>
      <c r="BR848" s="1"/>
    </row>
    <row r="849" spans="67:70" ht="15.75" customHeight="1" x14ac:dyDescent="0.25">
      <c r="BO849" s="6"/>
      <c r="BP849" s="7"/>
      <c r="BQ849" s="1"/>
      <c r="BR849" s="1"/>
    </row>
    <row r="850" spans="67:70" ht="15.75" customHeight="1" x14ac:dyDescent="0.25">
      <c r="BO850" s="6"/>
      <c r="BP850" s="7"/>
      <c r="BQ850" s="1"/>
      <c r="BR850" s="1"/>
    </row>
    <row r="851" spans="67:70" ht="15.75" customHeight="1" x14ac:dyDescent="0.25">
      <c r="BO851" s="6"/>
      <c r="BP851" s="7"/>
      <c r="BQ851" s="1"/>
      <c r="BR851" s="1"/>
    </row>
    <row r="852" spans="67:70" ht="15.75" customHeight="1" x14ac:dyDescent="0.25">
      <c r="BO852" s="6"/>
      <c r="BP852" s="7"/>
      <c r="BQ852" s="1"/>
      <c r="BR852" s="1"/>
    </row>
    <row r="853" spans="67:70" ht="15.75" customHeight="1" x14ac:dyDescent="0.25">
      <c r="BO853" s="6"/>
      <c r="BP853" s="7"/>
      <c r="BQ853" s="1"/>
      <c r="BR853" s="1"/>
    </row>
    <row r="854" spans="67:70" ht="15.75" customHeight="1" x14ac:dyDescent="0.25">
      <c r="BO854" s="6"/>
      <c r="BP854" s="7"/>
      <c r="BQ854" s="1"/>
      <c r="BR854" s="1"/>
    </row>
    <row r="855" spans="67:70" ht="15.75" customHeight="1" x14ac:dyDescent="0.25">
      <c r="BO855" s="6"/>
      <c r="BP855" s="7"/>
      <c r="BQ855" s="1"/>
      <c r="BR855" s="1"/>
    </row>
    <row r="856" spans="67:70" ht="15.75" customHeight="1" x14ac:dyDescent="0.25">
      <c r="BO856" s="6"/>
      <c r="BP856" s="7"/>
      <c r="BQ856" s="1"/>
      <c r="BR856" s="1"/>
    </row>
    <row r="857" spans="67:70" ht="15.75" customHeight="1" x14ac:dyDescent="0.25">
      <c r="BO857" s="6"/>
      <c r="BP857" s="7"/>
      <c r="BQ857" s="1"/>
      <c r="BR857" s="1"/>
    </row>
    <row r="858" spans="67:70" ht="15.75" customHeight="1" x14ac:dyDescent="0.25">
      <c r="BO858" s="6"/>
      <c r="BP858" s="7"/>
      <c r="BQ858" s="1"/>
      <c r="BR858" s="1"/>
    </row>
    <row r="859" spans="67:70" ht="15.75" customHeight="1" x14ac:dyDescent="0.25">
      <c r="BO859" s="6"/>
      <c r="BP859" s="7"/>
      <c r="BQ859" s="1"/>
      <c r="BR859" s="1"/>
    </row>
    <row r="860" spans="67:70" ht="15.75" customHeight="1" x14ac:dyDescent="0.25">
      <c r="BO860" s="6"/>
      <c r="BP860" s="7"/>
      <c r="BQ860" s="1"/>
      <c r="BR860" s="1"/>
    </row>
    <row r="861" spans="67:70" ht="15.75" customHeight="1" x14ac:dyDescent="0.25">
      <c r="BO861" s="6"/>
      <c r="BP861" s="7"/>
      <c r="BQ861" s="1"/>
      <c r="BR861" s="1"/>
    </row>
    <row r="862" spans="67:70" ht="15.75" customHeight="1" x14ac:dyDescent="0.25">
      <c r="BO862" s="6"/>
      <c r="BP862" s="7"/>
      <c r="BQ862" s="1"/>
      <c r="BR862" s="1"/>
    </row>
    <row r="863" spans="67:70" ht="15.75" customHeight="1" x14ac:dyDescent="0.25">
      <c r="BO863" s="6"/>
      <c r="BP863" s="7"/>
      <c r="BQ863" s="1"/>
      <c r="BR863" s="1"/>
    </row>
    <row r="864" spans="67:70" ht="15.75" customHeight="1" x14ac:dyDescent="0.25">
      <c r="BO864" s="6"/>
      <c r="BP864" s="7"/>
      <c r="BQ864" s="1"/>
      <c r="BR864" s="1"/>
    </row>
    <row r="865" spans="67:70" ht="15.75" customHeight="1" x14ac:dyDescent="0.25">
      <c r="BO865" s="6"/>
      <c r="BP865" s="7"/>
      <c r="BQ865" s="1"/>
      <c r="BR865" s="1"/>
    </row>
    <row r="866" spans="67:70" ht="15.75" customHeight="1" x14ac:dyDescent="0.25">
      <c r="BO866" s="6"/>
      <c r="BP866" s="7"/>
      <c r="BQ866" s="1"/>
      <c r="BR866" s="1"/>
    </row>
    <row r="867" spans="67:70" ht="15.75" customHeight="1" x14ac:dyDescent="0.25">
      <c r="BO867" s="6"/>
      <c r="BP867" s="7"/>
      <c r="BQ867" s="1"/>
      <c r="BR867" s="1"/>
    </row>
    <row r="868" spans="67:70" ht="15.75" customHeight="1" x14ac:dyDescent="0.25">
      <c r="BO868" s="6"/>
      <c r="BP868" s="7"/>
      <c r="BQ868" s="1"/>
      <c r="BR868" s="1"/>
    </row>
    <row r="869" spans="67:70" ht="15.75" customHeight="1" x14ac:dyDescent="0.25">
      <c r="BO869" s="6"/>
      <c r="BP869" s="7"/>
      <c r="BQ869" s="1"/>
      <c r="BR869" s="1"/>
    </row>
    <row r="870" spans="67:70" ht="15.75" customHeight="1" x14ac:dyDescent="0.25">
      <c r="BO870" s="6"/>
      <c r="BP870" s="7"/>
      <c r="BQ870" s="1"/>
      <c r="BR870" s="1"/>
    </row>
    <row r="871" spans="67:70" ht="15.75" customHeight="1" x14ac:dyDescent="0.25">
      <c r="BO871" s="6"/>
      <c r="BP871" s="7"/>
      <c r="BQ871" s="1"/>
      <c r="BR871" s="1"/>
    </row>
    <row r="872" spans="67:70" ht="15.75" customHeight="1" x14ac:dyDescent="0.25">
      <c r="BO872" s="6"/>
      <c r="BP872" s="7"/>
      <c r="BQ872" s="1"/>
      <c r="BR872" s="1"/>
    </row>
    <row r="873" spans="67:70" ht="15.75" customHeight="1" x14ac:dyDescent="0.25">
      <c r="BO873" s="6"/>
      <c r="BP873" s="7"/>
      <c r="BQ873" s="1"/>
      <c r="BR873" s="1"/>
    </row>
    <row r="874" spans="67:70" ht="15.75" customHeight="1" x14ac:dyDescent="0.25">
      <c r="BO874" s="6"/>
      <c r="BP874" s="7"/>
      <c r="BQ874" s="1"/>
      <c r="BR874" s="1"/>
    </row>
    <row r="875" spans="67:70" ht="15.75" customHeight="1" x14ac:dyDescent="0.25">
      <c r="BO875" s="6"/>
      <c r="BP875" s="7"/>
      <c r="BQ875" s="1"/>
      <c r="BR875" s="1"/>
    </row>
    <row r="876" spans="67:70" ht="15.75" customHeight="1" x14ac:dyDescent="0.25">
      <c r="BO876" s="6"/>
      <c r="BP876" s="7"/>
      <c r="BQ876" s="1"/>
      <c r="BR876" s="1"/>
    </row>
    <row r="877" spans="67:70" ht="15.75" customHeight="1" x14ac:dyDescent="0.25">
      <c r="BO877" s="6"/>
      <c r="BP877" s="7"/>
      <c r="BQ877" s="1"/>
      <c r="BR877" s="1"/>
    </row>
    <row r="878" spans="67:70" ht="15.75" customHeight="1" x14ac:dyDescent="0.25">
      <c r="BO878" s="6"/>
      <c r="BP878" s="7"/>
      <c r="BQ878" s="1"/>
      <c r="BR878" s="1"/>
    </row>
    <row r="879" spans="67:70" ht="15.75" customHeight="1" x14ac:dyDescent="0.25">
      <c r="BO879" s="6"/>
      <c r="BP879" s="7"/>
      <c r="BQ879" s="1"/>
      <c r="BR879" s="1"/>
    </row>
    <row r="880" spans="67:70" ht="15.75" customHeight="1" x14ac:dyDescent="0.25">
      <c r="BO880" s="6"/>
      <c r="BP880" s="7"/>
      <c r="BQ880" s="1"/>
      <c r="BR880" s="1"/>
    </row>
    <row r="881" spans="67:70" ht="15.75" customHeight="1" x14ac:dyDescent="0.25">
      <c r="BO881" s="6"/>
      <c r="BP881" s="7"/>
      <c r="BQ881" s="1"/>
      <c r="BR881" s="1"/>
    </row>
    <row r="882" spans="67:70" ht="15.75" customHeight="1" x14ac:dyDescent="0.25">
      <c r="BO882" s="6"/>
      <c r="BP882" s="7"/>
      <c r="BQ882" s="1"/>
      <c r="BR882" s="1"/>
    </row>
    <row r="883" spans="67:70" ht="15.75" customHeight="1" x14ac:dyDescent="0.25">
      <c r="BO883" s="6"/>
      <c r="BP883" s="7"/>
      <c r="BQ883" s="1"/>
      <c r="BR883" s="1"/>
    </row>
    <row r="884" spans="67:70" ht="15.75" customHeight="1" x14ac:dyDescent="0.25">
      <c r="BO884" s="6"/>
      <c r="BP884" s="7"/>
      <c r="BQ884" s="1"/>
      <c r="BR884" s="1"/>
    </row>
    <row r="885" spans="67:70" ht="15.75" customHeight="1" x14ac:dyDescent="0.25">
      <c r="BO885" s="6"/>
      <c r="BP885" s="7"/>
      <c r="BQ885" s="1"/>
      <c r="BR885" s="1"/>
    </row>
    <row r="886" spans="67:70" ht="15.75" customHeight="1" x14ac:dyDescent="0.25">
      <c r="BO886" s="6"/>
      <c r="BP886" s="7"/>
      <c r="BQ886" s="1"/>
      <c r="BR886" s="1"/>
    </row>
    <row r="887" spans="67:70" ht="15.75" customHeight="1" x14ac:dyDescent="0.25">
      <c r="BO887" s="6"/>
      <c r="BP887" s="7"/>
      <c r="BQ887" s="1"/>
      <c r="BR887" s="1"/>
    </row>
    <row r="888" spans="67:70" ht="15.75" customHeight="1" x14ac:dyDescent="0.25">
      <c r="BO888" s="6"/>
      <c r="BP888" s="7"/>
      <c r="BQ888" s="1"/>
      <c r="BR888" s="1"/>
    </row>
    <row r="889" spans="67:70" ht="15.75" customHeight="1" x14ac:dyDescent="0.25">
      <c r="BO889" s="6"/>
      <c r="BP889" s="7"/>
      <c r="BQ889" s="1"/>
      <c r="BR889" s="1"/>
    </row>
    <row r="890" spans="67:70" ht="15.75" customHeight="1" x14ac:dyDescent="0.25">
      <c r="BO890" s="6"/>
      <c r="BP890" s="7"/>
      <c r="BQ890" s="1"/>
      <c r="BR890" s="1"/>
    </row>
    <row r="891" spans="67:70" ht="15.75" customHeight="1" x14ac:dyDescent="0.25">
      <c r="BO891" s="6"/>
      <c r="BP891" s="7"/>
      <c r="BQ891" s="1"/>
      <c r="BR891" s="1"/>
    </row>
    <row r="892" spans="67:70" ht="15.75" customHeight="1" x14ac:dyDescent="0.25">
      <c r="BO892" s="6"/>
      <c r="BP892" s="7"/>
      <c r="BQ892" s="1"/>
      <c r="BR892" s="1"/>
    </row>
    <row r="893" spans="67:70" ht="15.75" customHeight="1" x14ac:dyDescent="0.25">
      <c r="BO893" s="6"/>
      <c r="BP893" s="7"/>
      <c r="BQ893" s="1"/>
      <c r="BR893" s="1"/>
    </row>
    <row r="894" spans="67:70" ht="15.75" customHeight="1" x14ac:dyDescent="0.25">
      <c r="BO894" s="6"/>
      <c r="BP894" s="7"/>
      <c r="BQ894" s="1"/>
      <c r="BR894" s="1"/>
    </row>
    <row r="895" spans="67:70" ht="15.75" customHeight="1" x14ac:dyDescent="0.25">
      <c r="BO895" s="6"/>
      <c r="BP895" s="7"/>
      <c r="BQ895" s="1"/>
      <c r="BR895" s="1"/>
    </row>
    <row r="896" spans="67:70" ht="15.75" customHeight="1" x14ac:dyDescent="0.25">
      <c r="BO896" s="6"/>
      <c r="BP896" s="7"/>
      <c r="BQ896" s="1"/>
      <c r="BR896" s="1"/>
    </row>
    <row r="897" spans="67:70" ht="15.75" customHeight="1" x14ac:dyDescent="0.25">
      <c r="BO897" s="6"/>
      <c r="BP897" s="7"/>
      <c r="BQ897" s="1"/>
      <c r="BR897" s="1"/>
    </row>
    <row r="898" spans="67:70" ht="15.75" customHeight="1" x14ac:dyDescent="0.25">
      <c r="BO898" s="6"/>
      <c r="BP898" s="7"/>
      <c r="BQ898" s="1"/>
      <c r="BR898" s="1"/>
    </row>
    <row r="899" spans="67:70" ht="15.75" customHeight="1" x14ac:dyDescent="0.25">
      <c r="BO899" s="6"/>
      <c r="BP899" s="7"/>
      <c r="BQ899" s="1"/>
      <c r="BR899" s="1"/>
    </row>
    <row r="900" spans="67:70" ht="15.75" customHeight="1" x14ac:dyDescent="0.25">
      <c r="BO900" s="6"/>
      <c r="BP900" s="7"/>
      <c r="BQ900" s="1"/>
      <c r="BR900" s="1"/>
    </row>
    <row r="901" spans="67:70" ht="15.75" customHeight="1" x14ac:dyDescent="0.25">
      <c r="BO901" s="6"/>
      <c r="BP901" s="7"/>
      <c r="BQ901" s="1"/>
      <c r="BR901" s="1"/>
    </row>
    <row r="902" spans="67:70" ht="15.75" customHeight="1" x14ac:dyDescent="0.25">
      <c r="BO902" s="6"/>
      <c r="BP902" s="7"/>
      <c r="BQ902" s="1"/>
      <c r="BR902" s="1"/>
    </row>
    <row r="903" spans="67:70" ht="15.75" customHeight="1" x14ac:dyDescent="0.25">
      <c r="BO903" s="6"/>
      <c r="BP903" s="7"/>
      <c r="BQ903" s="1"/>
      <c r="BR903" s="1"/>
    </row>
    <row r="904" spans="67:70" ht="15.75" customHeight="1" x14ac:dyDescent="0.25">
      <c r="BO904" s="6"/>
      <c r="BP904" s="7"/>
      <c r="BQ904" s="1"/>
      <c r="BR904" s="1"/>
    </row>
    <row r="905" spans="67:70" ht="15.75" customHeight="1" x14ac:dyDescent="0.25">
      <c r="BO905" s="6"/>
      <c r="BP905" s="7"/>
      <c r="BQ905" s="1"/>
      <c r="BR905" s="1"/>
    </row>
    <row r="906" spans="67:70" ht="15.75" customHeight="1" x14ac:dyDescent="0.25">
      <c r="BO906" s="6"/>
      <c r="BP906" s="7"/>
      <c r="BQ906" s="1"/>
      <c r="BR906" s="1"/>
    </row>
    <row r="907" spans="67:70" ht="15.75" customHeight="1" x14ac:dyDescent="0.25">
      <c r="BO907" s="6"/>
      <c r="BP907" s="7"/>
      <c r="BQ907" s="1"/>
      <c r="BR907" s="1"/>
    </row>
    <row r="908" spans="67:70" ht="15.75" customHeight="1" x14ac:dyDescent="0.25">
      <c r="BO908" s="6"/>
      <c r="BP908" s="7"/>
      <c r="BQ908" s="1"/>
      <c r="BR908" s="1"/>
    </row>
    <row r="909" spans="67:70" ht="15.75" customHeight="1" x14ac:dyDescent="0.25">
      <c r="BO909" s="6"/>
      <c r="BP909" s="7"/>
      <c r="BQ909" s="1"/>
      <c r="BR909" s="1"/>
    </row>
    <row r="910" spans="67:70" ht="15.75" customHeight="1" x14ac:dyDescent="0.25">
      <c r="BO910" s="6"/>
      <c r="BP910" s="7"/>
      <c r="BQ910" s="1"/>
      <c r="BR910" s="1"/>
    </row>
    <row r="911" spans="67:70" ht="15.75" customHeight="1" x14ac:dyDescent="0.25">
      <c r="BO911" s="6"/>
      <c r="BP911" s="7"/>
      <c r="BQ911" s="1"/>
      <c r="BR911" s="1"/>
    </row>
    <row r="912" spans="67:70" ht="15.75" customHeight="1" x14ac:dyDescent="0.25">
      <c r="BO912" s="6"/>
      <c r="BP912" s="7"/>
      <c r="BQ912" s="1"/>
      <c r="BR912" s="1"/>
    </row>
    <row r="913" spans="67:70" ht="15.75" customHeight="1" x14ac:dyDescent="0.25">
      <c r="BO913" s="6"/>
      <c r="BP913" s="7"/>
      <c r="BQ913" s="1"/>
      <c r="BR913" s="1"/>
    </row>
    <row r="914" spans="67:70" ht="15.75" customHeight="1" x14ac:dyDescent="0.25">
      <c r="BO914" s="6"/>
      <c r="BP914" s="7"/>
      <c r="BQ914" s="1"/>
      <c r="BR914" s="1"/>
    </row>
    <row r="915" spans="67:70" ht="15.75" customHeight="1" x14ac:dyDescent="0.25">
      <c r="BO915" s="6"/>
      <c r="BP915" s="7"/>
      <c r="BQ915" s="1"/>
      <c r="BR915" s="1"/>
    </row>
    <row r="916" spans="67:70" ht="15.75" customHeight="1" x14ac:dyDescent="0.25">
      <c r="BO916" s="6"/>
      <c r="BP916" s="7"/>
      <c r="BQ916" s="1"/>
      <c r="BR916" s="1"/>
    </row>
    <row r="917" spans="67:70" ht="15.75" customHeight="1" x14ac:dyDescent="0.25">
      <c r="BO917" s="6"/>
      <c r="BP917" s="7"/>
      <c r="BQ917" s="1"/>
      <c r="BR917" s="1"/>
    </row>
    <row r="918" spans="67:70" ht="15.75" customHeight="1" x14ac:dyDescent="0.25">
      <c r="BO918" s="6"/>
      <c r="BP918" s="7"/>
      <c r="BQ918" s="1"/>
      <c r="BR918" s="1"/>
    </row>
    <row r="919" spans="67:70" ht="15.75" customHeight="1" x14ac:dyDescent="0.25">
      <c r="BO919" s="6"/>
      <c r="BP919" s="7"/>
      <c r="BQ919" s="1"/>
      <c r="BR919" s="1"/>
    </row>
    <row r="920" spans="67:70" ht="15.75" customHeight="1" x14ac:dyDescent="0.25">
      <c r="BO920" s="6"/>
      <c r="BP920" s="7"/>
      <c r="BQ920" s="1"/>
      <c r="BR920" s="1"/>
    </row>
    <row r="921" spans="67:70" ht="15.75" customHeight="1" x14ac:dyDescent="0.25">
      <c r="BO921" s="6"/>
      <c r="BP921" s="7"/>
      <c r="BQ921" s="1"/>
      <c r="BR921" s="1"/>
    </row>
    <row r="922" spans="67:70" ht="15.75" customHeight="1" x14ac:dyDescent="0.25">
      <c r="BO922" s="6"/>
      <c r="BP922" s="7"/>
      <c r="BQ922" s="1"/>
      <c r="BR922" s="1"/>
    </row>
    <row r="923" spans="67:70" ht="15.75" customHeight="1" x14ac:dyDescent="0.25">
      <c r="BO923" s="6"/>
      <c r="BP923" s="7"/>
      <c r="BQ923" s="1"/>
      <c r="BR923" s="1"/>
    </row>
    <row r="924" spans="67:70" ht="15.75" customHeight="1" x14ac:dyDescent="0.25">
      <c r="BO924" s="6"/>
      <c r="BP924" s="7"/>
      <c r="BQ924" s="1"/>
      <c r="BR924" s="1"/>
    </row>
    <row r="925" spans="67:70" ht="15.75" customHeight="1" x14ac:dyDescent="0.25">
      <c r="BO925" s="6"/>
      <c r="BP925" s="7"/>
      <c r="BQ925" s="1"/>
      <c r="BR925" s="1"/>
    </row>
    <row r="926" spans="67:70" ht="15.75" customHeight="1" x14ac:dyDescent="0.25">
      <c r="BO926" s="6"/>
      <c r="BP926" s="7"/>
      <c r="BQ926" s="1"/>
      <c r="BR926" s="1"/>
    </row>
    <row r="927" spans="67:70" ht="15.75" customHeight="1" x14ac:dyDescent="0.25">
      <c r="BO927" s="6"/>
      <c r="BP927" s="7"/>
      <c r="BQ927" s="1"/>
      <c r="BR927" s="1"/>
    </row>
    <row r="928" spans="67:70" ht="15.75" customHeight="1" x14ac:dyDescent="0.25">
      <c r="BO928" s="6"/>
      <c r="BP928" s="7"/>
      <c r="BQ928" s="1"/>
      <c r="BR928" s="1"/>
    </row>
    <row r="929" spans="67:70" ht="15.75" customHeight="1" x14ac:dyDescent="0.25">
      <c r="BO929" s="6"/>
      <c r="BP929" s="7"/>
      <c r="BQ929" s="1"/>
      <c r="BR929" s="1"/>
    </row>
    <row r="930" spans="67:70" ht="15.75" customHeight="1" x14ac:dyDescent="0.25">
      <c r="BO930" s="6"/>
      <c r="BP930" s="7"/>
      <c r="BQ930" s="1"/>
      <c r="BR930" s="1"/>
    </row>
    <row r="931" spans="67:70" ht="15.75" customHeight="1" x14ac:dyDescent="0.25">
      <c r="BO931" s="6"/>
      <c r="BP931" s="7"/>
      <c r="BQ931" s="1"/>
      <c r="BR931" s="1"/>
    </row>
    <row r="932" spans="67:70" ht="15.75" customHeight="1" x14ac:dyDescent="0.25">
      <c r="BO932" s="6"/>
      <c r="BP932" s="7"/>
      <c r="BQ932" s="1"/>
      <c r="BR932" s="1"/>
    </row>
    <row r="933" spans="67:70" ht="15.75" customHeight="1" x14ac:dyDescent="0.25">
      <c r="BO933" s="6"/>
      <c r="BP933" s="7"/>
      <c r="BQ933" s="1"/>
      <c r="BR933" s="1"/>
    </row>
    <row r="934" spans="67:70" ht="15.75" customHeight="1" x14ac:dyDescent="0.25">
      <c r="BO934" s="6"/>
      <c r="BP934" s="7"/>
      <c r="BQ934" s="1"/>
      <c r="BR934" s="1"/>
    </row>
    <row r="935" spans="67:70" ht="15.75" customHeight="1" x14ac:dyDescent="0.25">
      <c r="BO935" s="6"/>
      <c r="BP935" s="7"/>
      <c r="BQ935" s="1"/>
      <c r="BR935" s="1"/>
    </row>
    <row r="936" spans="67:70" ht="15.75" customHeight="1" x14ac:dyDescent="0.25">
      <c r="BO936" s="6"/>
      <c r="BP936" s="7"/>
      <c r="BQ936" s="1"/>
      <c r="BR936" s="1"/>
    </row>
    <row r="937" spans="67:70" ht="15.75" customHeight="1" x14ac:dyDescent="0.25">
      <c r="BO937" s="6"/>
      <c r="BP937" s="7"/>
      <c r="BQ937" s="1"/>
      <c r="BR937" s="1"/>
    </row>
    <row r="938" spans="67:70" ht="15.75" customHeight="1" x14ac:dyDescent="0.25">
      <c r="BO938" s="6"/>
      <c r="BP938" s="7"/>
      <c r="BQ938" s="1"/>
      <c r="BR938" s="1"/>
    </row>
    <row r="939" spans="67:70" ht="15.75" customHeight="1" x14ac:dyDescent="0.25">
      <c r="BO939" s="6"/>
      <c r="BP939" s="7"/>
      <c r="BQ939" s="1"/>
      <c r="BR939" s="1"/>
    </row>
    <row r="940" spans="67:70" ht="15.75" customHeight="1" x14ac:dyDescent="0.25">
      <c r="BO940" s="6"/>
      <c r="BP940" s="7"/>
      <c r="BQ940" s="1"/>
      <c r="BR940" s="1"/>
    </row>
    <row r="941" spans="67:70" ht="15.75" customHeight="1" x14ac:dyDescent="0.25">
      <c r="BO941" s="6"/>
      <c r="BP941" s="7"/>
      <c r="BQ941" s="1"/>
      <c r="BR941" s="1"/>
    </row>
    <row r="942" spans="67:70" ht="15.75" customHeight="1" x14ac:dyDescent="0.25">
      <c r="BO942" s="6"/>
      <c r="BP942" s="7"/>
      <c r="BQ942" s="1"/>
      <c r="BR942" s="1"/>
    </row>
    <row r="943" spans="67:70" ht="15.75" customHeight="1" x14ac:dyDescent="0.25">
      <c r="BO943" s="6"/>
      <c r="BP943" s="7"/>
      <c r="BQ943" s="1"/>
      <c r="BR943" s="1"/>
    </row>
    <row r="944" spans="67:70" ht="15.75" customHeight="1" x14ac:dyDescent="0.25">
      <c r="BO944" s="6"/>
      <c r="BP944" s="7"/>
      <c r="BQ944" s="1"/>
      <c r="BR944" s="1"/>
    </row>
    <row r="945" spans="67:70" ht="15.75" customHeight="1" x14ac:dyDescent="0.25">
      <c r="BO945" s="6"/>
      <c r="BP945" s="7"/>
      <c r="BQ945" s="1"/>
      <c r="BR945" s="1"/>
    </row>
    <row r="946" spans="67:70" ht="15.75" customHeight="1" x14ac:dyDescent="0.25">
      <c r="BO946" s="6"/>
      <c r="BP946" s="7"/>
      <c r="BQ946" s="1"/>
      <c r="BR946" s="1"/>
    </row>
    <row r="947" spans="67:70" ht="15.75" customHeight="1" x14ac:dyDescent="0.25">
      <c r="BO947" s="6"/>
      <c r="BP947" s="7"/>
      <c r="BQ947" s="1"/>
      <c r="BR947" s="1"/>
    </row>
    <row r="948" spans="67:70" ht="15.75" customHeight="1" x14ac:dyDescent="0.25">
      <c r="BO948" s="6"/>
      <c r="BP948" s="7"/>
      <c r="BQ948" s="1"/>
      <c r="BR948" s="1"/>
    </row>
    <row r="949" spans="67:70" ht="15.75" customHeight="1" x14ac:dyDescent="0.25">
      <c r="BO949" s="6"/>
      <c r="BP949" s="7"/>
      <c r="BQ949" s="1"/>
      <c r="BR949" s="1"/>
    </row>
    <row r="950" spans="67:70" ht="15.75" customHeight="1" x14ac:dyDescent="0.25">
      <c r="BO950" s="6"/>
      <c r="BP950" s="7"/>
      <c r="BQ950" s="1"/>
      <c r="BR950" s="1"/>
    </row>
    <row r="951" spans="67:70" ht="15.75" customHeight="1" x14ac:dyDescent="0.25">
      <c r="BO951" s="6"/>
      <c r="BP951" s="7"/>
      <c r="BQ951" s="1"/>
      <c r="BR951" s="1"/>
    </row>
    <row r="952" spans="67:70" ht="15.75" customHeight="1" x14ac:dyDescent="0.25">
      <c r="BO952" s="6"/>
      <c r="BP952" s="7"/>
      <c r="BQ952" s="1"/>
      <c r="BR952" s="1"/>
    </row>
    <row r="953" spans="67:70" ht="15.75" customHeight="1" x14ac:dyDescent="0.25">
      <c r="BO953" s="6"/>
      <c r="BP953" s="7"/>
      <c r="BQ953" s="1"/>
      <c r="BR953" s="1"/>
    </row>
    <row r="954" spans="67:70" ht="15.75" customHeight="1" x14ac:dyDescent="0.25">
      <c r="BO954" s="6"/>
      <c r="BP954" s="7"/>
      <c r="BQ954" s="1"/>
      <c r="BR954" s="1"/>
    </row>
    <row r="955" spans="67:70" ht="15.75" customHeight="1" x14ac:dyDescent="0.25">
      <c r="BO955" s="6"/>
      <c r="BP955" s="7"/>
      <c r="BQ955" s="1"/>
      <c r="BR955" s="1"/>
    </row>
    <row r="956" spans="67:70" ht="15.75" customHeight="1" x14ac:dyDescent="0.25">
      <c r="BO956" s="6"/>
      <c r="BP956" s="7"/>
      <c r="BQ956" s="1"/>
      <c r="BR956" s="1"/>
    </row>
    <row r="957" spans="67:70" ht="15.75" customHeight="1" x14ac:dyDescent="0.25">
      <c r="BO957" s="6"/>
      <c r="BP957" s="7"/>
      <c r="BQ957" s="1"/>
      <c r="BR957" s="1"/>
    </row>
    <row r="958" spans="67:70" ht="15.75" customHeight="1" x14ac:dyDescent="0.25">
      <c r="BO958" s="6"/>
      <c r="BP958" s="7"/>
      <c r="BQ958" s="1"/>
      <c r="BR958" s="1"/>
    </row>
    <row r="959" spans="67:70" ht="15.75" customHeight="1" x14ac:dyDescent="0.25">
      <c r="BO959" s="6"/>
      <c r="BP959" s="7"/>
      <c r="BQ959" s="1"/>
      <c r="BR959" s="1"/>
    </row>
    <row r="960" spans="67:70" ht="15.75" customHeight="1" x14ac:dyDescent="0.25">
      <c r="BO960" s="6"/>
      <c r="BP960" s="7"/>
      <c r="BQ960" s="1"/>
      <c r="BR960" s="1"/>
    </row>
    <row r="961" spans="67:70" ht="15.75" customHeight="1" x14ac:dyDescent="0.25">
      <c r="BO961" s="6"/>
      <c r="BP961" s="7"/>
      <c r="BQ961" s="1"/>
      <c r="BR961" s="1"/>
    </row>
    <row r="962" spans="67:70" ht="15.75" customHeight="1" x14ac:dyDescent="0.25">
      <c r="BO962" s="6"/>
      <c r="BP962" s="7"/>
      <c r="BQ962" s="1"/>
      <c r="BR962" s="1"/>
    </row>
    <row r="963" spans="67:70" ht="15.75" customHeight="1" x14ac:dyDescent="0.25">
      <c r="BO963" s="6"/>
      <c r="BP963" s="7"/>
      <c r="BQ963" s="1"/>
      <c r="BR963" s="1"/>
    </row>
    <row r="964" spans="67:70" ht="15.75" customHeight="1" x14ac:dyDescent="0.25">
      <c r="BO964" s="6"/>
      <c r="BP964" s="7"/>
      <c r="BQ964" s="1"/>
      <c r="BR964" s="1"/>
    </row>
    <row r="965" spans="67:70" ht="15.75" customHeight="1" x14ac:dyDescent="0.25">
      <c r="BO965" s="6"/>
      <c r="BP965" s="7"/>
      <c r="BQ965" s="1"/>
      <c r="BR965" s="1"/>
    </row>
    <row r="966" spans="67:70" ht="15.75" customHeight="1" x14ac:dyDescent="0.25">
      <c r="BO966" s="6"/>
      <c r="BP966" s="7"/>
      <c r="BQ966" s="1"/>
      <c r="BR966" s="1"/>
    </row>
    <row r="967" spans="67:70" ht="15.75" customHeight="1" x14ac:dyDescent="0.25">
      <c r="BO967" s="6"/>
      <c r="BP967" s="7"/>
      <c r="BQ967" s="1"/>
      <c r="BR967" s="1"/>
    </row>
    <row r="968" spans="67:70" ht="15.75" customHeight="1" x14ac:dyDescent="0.25">
      <c r="BO968" s="6"/>
      <c r="BP968" s="7"/>
      <c r="BQ968" s="1"/>
      <c r="BR968" s="1"/>
    </row>
    <row r="969" spans="67:70" ht="15.75" customHeight="1" x14ac:dyDescent="0.25">
      <c r="BO969" s="6"/>
      <c r="BP969" s="7"/>
      <c r="BQ969" s="1"/>
      <c r="BR969" s="1"/>
    </row>
    <row r="970" spans="67:70" ht="15.75" customHeight="1" x14ac:dyDescent="0.25">
      <c r="BO970" s="6"/>
      <c r="BP970" s="7"/>
      <c r="BQ970" s="1"/>
      <c r="BR970" s="1"/>
    </row>
    <row r="971" spans="67:70" ht="15.75" customHeight="1" x14ac:dyDescent="0.25">
      <c r="BO971" s="6"/>
      <c r="BP971" s="7"/>
      <c r="BQ971" s="1"/>
      <c r="BR971" s="1"/>
    </row>
    <row r="972" spans="67:70" ht="15.75" customHeight="1" x14ac:dyDescent="0.25">
      <c r="BO972" s="6"/>
      <c r="BP972" s="7"/>
      <c r="BQ972" s="1"/>
      <c r="BR972" s="1"/>
    </row>
    <row r="973" spans="67:70" ht="15.75" customHeight="1" x14ac:dyDescent="0.25">
      <c r="BO973" s="6"/>
      <c r="BP973" s="7"/>
      <c r="BQ973" s="1"/>
      <c r="BR973" s="1"/>
    </row>
    <row r="974" spans="67:70" ht="15.75" customHeight="1" x14ac:dyDescent="0.25">
      <c r="BO974" s="6"/>
      <c r="BP974" s="7"/>
      <c r="BQ974" s="1"/>
      <c r="BR974" s="1"/>
    </row>
    <row r="975" spans="67:70" ht="15.75" customHeight="1" x14ac:dyDescent="0.25">
      <c r="BO975" s="6"/>
      <c r="BP975" s="7"/>
      <c r="BQ975" s="1"/>
      <c r="BR975" s="1"/>
    </row>
    <row r="976" spans="67:70" ht="15.75" customHeight="1" x14ac:dyDescent="0.25">
      <c r="BO976" s="6"/>
      <c r="BP976" s="7"/>
      <c r="BQ976" s="1"/>
      <c r="BR976" s="1"/>
    </row>
    <row r="977" spans="67:70" ht="15.75" customHeight="1" x14ac:dyDescent="0.25">
      <c r="BO977" s="6"/>
      <c r="BP977" s="7"/>
      <c r="BQ977" s="1"/>
      <c r="BR977" s="1"/>
    </row>
    <row r="978" spans="67:70" ht="15.75" customHeight="1" x14ac:dyDescent="0.25">
      <c r="BO978" s="6"/>
      <c r="BP978" s="7"/>
      <c r="BQ978" s="1"/>
      <c r="BR978" s="1"/>
    </row>
    <row r="979" spans="67:70" ht="15.75" customHeight="1" x14ac:dyDescent="0.25">
      <c r="BO979" s="6"/>
      <c r="BP979" s="7"/>
      <c r="BQ979" s="1"/>
      <c r="BR979" s="1"/>
    </row>
    <row r="980" spans="67:70" ht="15.75" customHeight="1" x14ac:dyDescent="0.25">
      <c r="BO980" s="6"/>
      <c r="BP980" s="7"/>
      <c r="BQ980" s="1"/>
      <c r="BR980" s="1"/>
    </row>
    <row r="981" spans="67:70" ht="15.75" customHeight="1" x14ac:dyDescent="0.25">
      <c r="BO981" s="6"/>
      <c r="BP981" s="7"/>
      <c r="BQ981" s="1"/>
      <c r="BR981" s="1"/>
    </row>
    <row r="982" spans="67:70" ht="15.75" customHeight="1" x14ac:dyDescent="0.25">
      <c r="BO982" s="6"/>
      <c r="BP982" s="7"/>
      <c r="BQ982" s="1"/>
      <c r="BR982" s="1"/>
    </row>
    <row r="983" spans="67:70" ht="15.75" customHeight="1" x14ac:dyDescent="0.25">
      <c r="BO983" s="6"/>
      <c r="BP983" s="7"/>
      <c r="BQ983" s="1"/>
      <c r="BR983" s="1"/>
    </row>
    <row r="984" spans="67:70" ht="15.75" customHeight="1" x14ac:dyDescent="0.25">
      <c r="BO984" s="6"/>
      <c r="BP984" s="7"/>
      <c r="BQ984" s="1"/>
      <c r="BR984" s="1"/>
    </row>
    <row r="985" spans="67:70" ht="15.75" customHeight="1" x14ac:dyDescent="0.25">
      <c r="BO985" s="6"/>
      <c r="BP985" s="7"/>
      <c r="BQ985" s="1"/>
      <c r="BR985" s="1"/>
    </row>
    <row r="986" spans="67:70" ht="15.75" customHeight="1" x14ac:dyDescent="0.25">
      <c r="BO986" s="6"/>
      <c r="BP986" s="7"/>
      <c r="BQ986" s="1"/>
      <c r="BR986" s="1"/>
    </row>
    <row r="987" spans="67:70" ht="15.75" customHeight="1" x14ac:dyDescent="0.25">
      <c r="BO987" s="6"/>
      <c r="BP987" s="7"/>
      <c r="BQ987" s="1"/>
      <c r="BR987" s="1"/>
    </row>
    <row r="988" spans="67:70" ht="15.75" customHeight="1" x14ac:dyDescent="0.25">
      <c r="BO988" s="6"/>
      <c r="BP988" s="7"/>
      <c r="BQ988" s="1"/>
      <c r="BR988" s="1"/>
    </row>
    <row r="989" spans="67:70" ht="15.75" customHeight="1" x14ac:dyDescent="0.25">
      <c r="BO989" s="6"/>
      <c r="BP989" s="7"/>
      <c r="BQ989" s="1"/>
      <c r="BR989" s="1"/>
    </row>
    <row r="990" spans="67:70" ht="15.75" customHeight="1" x14ac:dyDescent="0.25">
      <c r="BO990" s="6"/>
      <c r="BP990" s="7"/>
      <c r="BQ990" s="1"/>
      <c r="BR990" s="1"/>
    </row>
    <row r="991" spans="67:70" ht="15.75" customHeight="1" x14ac:dyDescent="0.25">
      <c r="BO991" s="6"/>
      <c r="BP991" s="7"/>
      <c r="BQ991" s="1"/>
      <c r="BR991" s="1"/>
    </row>
    <row r="992" spans="67:70" ht="15.75" customHeight="1" x14ac:dyDescent="0.25">
      <c r="BO992" s="6"/>
      <c r="BP992" s="7"/>
      <c r="BQ992" s="1"/>
      <c r="BR992" s="1"/>
    </row>
    <row r="993" spans="67:70" ht="15.75" customHeight="1" x14ac:dyDescent="0.25">
      <c r="BO993" s="6"/>
      <c r="BP993" s="7"/>
      <c r="BQ993" s="1"/>
      <c r="BR993" s="1"/>
    </row>
    <row r="994" spans="67:70" ht="15.75" customHeight="1" x14ac:dyDescent="0.25">
      <c r="BO994" s="6"/>
      <c r="BP994" s="7"/>
      <c r="BQ994" s="1"/>
      <c r="BR994" s="1"/>
    </row>
    <row r="995" spans="67:70" ht="15.75" customHeight="1" x14ac:dyDescent="0.25">
      <c r="BO995" s="6"/>
      <c r="BP995" s="7"/>
      <c r="BQ995" s="1"/>
      <c r="BR995" s="1"/>
    </row>
    <row r="996" spans="67:70" ht="15.75" customHeight="1" x14ac:dyDescent="0.25">
      <c r="BO996" s="6"/>
      <c r="BP996" s="7"/>
      <c r="BQ996" s="1"/>
      <c r="BR996" s="1"/>
    </row>
    <row r="997" spans="67:70" ht="15.75" customHeight="1" x14ac:dyDescent="0.25">
      <c r="BO997" s="6"/>
      <c r="BP997" s="7"/>
      <c r="BQ997" s="1"/>
      <c r="BR997" s="1"/>
    </row>
    <row r="998" spans="67:70" ht="15.75" customHeight="1" x14ac:dyDescent="0.25">
      <c r="BO998" s="6"/>
      <c r="BP998" s="7"/>
      <c r="BQ998" s="1"/>
      <c r="BR998" s="1"/>
    </row>
    <row r="999" spans="67:70" ht="15.75" customHeight="1" x14ac:dyDescent="0.25">
      <c r="BO999" s="6"/>
      <c r="BP999" s="7"/>
      <c r="BQ999" s="1"/>
      <c r="BR999" s="1"/>
    </row>
    <row r="1000" spans="67:70" ht="15.75" customHeight="1" x14ac:dyDescent="0.25">
      <c r="BO1000" s="6"/>
      <c r="BP1000" s="7"/>
      <c r="BQ1000" s="1"/>
      <c r="BR1000" s="1"/>
    </row>
  </sheetData>
  <mergeCells count="5">
    <mergeCell ref="BX1:CI1"/>
    <mergeCell ref="CJ1:CU1"/>
    <mergeCell ref="CV1:DG1"/>
    <mergeCell ref="DH1:DI1"/>
    <mergeCell ref="DS1:DU1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A1000"/>
  <sheetViews>
    <sheetView workbookViewId="0"/>
  </sheetViews>
  <sheetFormatPr defaultColWidth="12.625" defaultRowHeight="15" customHeight="1" x14ac:dyDescent="0.2"/>
  <cols>
    <col min="1" max="2" width="7.625" customWidth="1"/>
    <col min="3" max="3" width="45.625" customWidth="1"/>
    <col min="4" max="4" width="15.5" customWidth="1"/>
    <col min="5" max="6" width="13.75" customWidth="1"/>
    <col min="7" max="10" width="13.75" hidden="1" customWidth="1"/>
    <col min="11" max="11" width="13" hidden="1" customWidth="1"/>
    <col min="12" max="13" width="13.25" hidden="1" customWidth="1"/>
    <col min="14" max="14" width="12" hidden="1" customWidth="1"/>
    <col min="15" max="15" width="9.5" hidden="1" customWidth="1"/>
    <col min="16" max="17" width="12.875" customWidth="1"/>
    <col min="18" max="18" width="10.5" customWidth="1"/>
    <col min="19" max="23" width="11.875" hidden="1" customWidth="1"/>
    <col min="24" max="24" width="12.5" hidden="1" customWidth="1"/>
    <col min="25" max="27" width="9.75" hidden="1" customWidth="1"/>
  </cols>
  <sheetData>
    <row r="1" spans="1:27" ht="14.25" customHeight="1" x14ac:dyDescent="0.25">
      <c r="A1" s="1" t="s">
        <v>1</v>
      </c>
      <c r="D1" s="104">
        <v>2016</v>
      </c>
      <c r="E1" s="109"/>
      <c r="F1" s="110"/>
      <c r="G1" s="86"/>
      <c r="H1" s="86"/>
      <c r="I1" s="86"/>
      <c r="J1" s="87"/>
      <c r="K1" s="86"/>
      <c r="L1" s="86"/>
      <c r="M1" s="86"/>
      <c r="N1" s="86"/>
      <c r="O1" s="87"/>
      <c r="P1" s="104">
        <v>2015</v>
      </c>
      <c r="Q1" s="109"/>
      <c r="R1" s="110"/>
      <c r="S1" s="86"/>
      <c r="T1" s="32"/>
      <c r="U1" s="87"/>
      <c r="V1" s="87"/>
      <c r="W1" s="86"/>
      <c r="X1" s="86"/>
      <c r="Y1" s="86"/>
      <c r="Z1" s="86"/>
      <c r="AA1" s="87"/>
    </row>
    <row r="2" spans="1:27" ht="14.25" customHeight="1" x14ac:dyDescent="0.25">
      <c r="D2" s="35" t="s">
        <v>20</v>
      </c>
      <c r="E2" s="35" t="s">
        <v>21</v>
      </c>
      <c r="F2" s="35" t="s">
        <v>22</v>
      </c>
      <c r="G2" s="35" t="s">
        <v>23</v>
      </c>
      <c r="H2" s="35" t="s">
        <v>24</v>
      </c>
      <c r="I2" s="35" t="s">
        <v>14</v>
      </c>
      <c r="J2" s="35" t="s">
        <v>15</v>
      </c>
      <c r="K2" s="35" t="s">
        <v>5</v>
      </c>
      <c r="L2" s="35" t="s">
        <v>16</v>
      </c>
      <c r="M2" s="35" t="s">
        <v>17</v>
      </c>
      <c r="N2" s="35" t="s">
        <v>18</v>
      </c>
      <c r="O2" s="35" t="s">
        <v>19</v>
      </c>
      <c r="P2" s="35" t="s">
        <v>20</v>
      </c>
      <c r="Q2" s="35" t="s">
        <v>21</v>
      </c>
      <c r="R2" s="35" t="s">
        <v>22</v>
      </c>
      <c r="S2" s="35" t="s">
        <v>23</v>
      </c>
      <c r="T2" s="35" t="s">
        <v>24</v>
      </c>
      <c r="U2" s="35" t="s">
        <v>14</v>
      </c>
      <c r="V2" s="35" t="s">
        <v>15</v>
      </c>
      <c r="W2" s="35" t="s">
        <v>5</v>
      </c>
      <c r="X2" s="35" t="s">
        <v>16</v>
      </c>
      <c r="Y2" s="35" t="s">
        <v>17</v>
      </c>
      <c r="Z2" s="35" t="s">
        <v>18</v>
      </c>
      <c r="AA2" s="35" t="s">
        <v>19</v>
      </c>
    </row>
    <row r="3" spans="1:27" ht="14.25" customHeight="1" x14ac:dyDescent="0.25">
      <c r="C3" s="1" t="s">
        <v>59</v>
      </c>
      <c r="D3" s="1">
        <f>436+13</f>
        <v>449</v>
      </c>
      <c r="E3" s="1">
        <v>451</v>
      </c>
      <c r="F3" s="1">
        <f>433+13</f>
        <v>446</v>
      </c>
      <c r="G3" s="1">
        <f>428+13</f>
        <v>441</v>
      </c>
      <c r="H3" s="1">
        <v>439</v>
      </c>
      <c r="I3" s="1">
        <v>431</v>
      </c>
      <c r="J3" s="1">
        <v>440</v>
      </c>
      <c r="K3" s="1">
        <v>445</v>
      </c>
      <c r="L3" s="1">
        <v>441</v>
      </c>
      <c r="M3" s="1">
        <v>444</v>
      </c>
      <c r="N3" s="1">
        <v>441</v>
      </c>
      <c r="O3" s="1">
        <v>449</v>
      </c>
      <c r="P3" s="1">
        <v>440</v>
      </c>
      <c r="Q3" s="1">
        <v>438</v>
      </c>
      <c r="R3" s="1">
        <v>437</v>
      </c>
      <c r="S3" s="1">
        <v>435</v>
      </c>
      <c r="T3" s="1">
        <v>433</v>
      </c>
      <c r="U3" s="1">
        <v>432</v>
      </c>
      <c r="V3" s="1">
        <v>430</v>
      </c>
      <c r="W3" s="1">
        <v>428</v>
      </c>
      <c r="X3" s="1">
        <v>430</v>
      </c>
      <c r="Y3" s="1">
        <v>426</v>
      </c>
      <c r="Z3" s="1">
        <v>428</v>
      </c>
      <c r="AA3" s="1">
        <v>439</v>
      </c>
    </row>
    <row r="4" spans="1:27" ht="14.25" customHeight="1" x14ac:dyDescent="0.25">
      <c r="C4" s="1" t="s">
        <v>28</v>
      </c>
      <c r="D4" s="23">
        <f>AVERAGE(D3:O3)</f>
        <v>443.08333333333331</v>
      </c>
      <c r="E4" s="23">
        <f>AVERAGE(E3:O3)</f>
        <v>442.54545454545456</v>
      </c>
      <c r="F4" s="23">
        <f>AVERAGE(F3:O3)</f>
        <v>441.7</v>
      </c>
      <c r="G4" s="23">
        <f>AVERAGE(G3:O3)</f>
        <v>441.22222222222223</v>
      </c>
      <c r="H4" s="23">
        <f>AVERAGE(H3:O3)</f>
        <v>441.25</v>
      </c>
      <c r="I4" s="23">
        <f>AVERAGE(I3:O3)</f>
        <v>441.57142857142856</v>
      </c>
      <c r="J4" s="23">
        <f>AVERAGE(J3:O3)</f>
        <v>443.33333333333331</v>
      </c>
      <c r="K4" s="23">
        <f>AVERAGE(K3:O3)</f>
        <v>444</v>
      </c>
      <c r="L4" s="23">
        <f>AVERAGE(L3:O3)</f>
        <v>443.75</v>
      </c>
      <c r="M4" s="23">
        <f>AVERAGE(M3:O3)</f>
        <v>444.66666666666669</v>
      </c>
      <c r="N4" s="23">
        <f>AVERAGE(N3:O3)</f>
        <v>445</v>
      </c>
      <c r="O4" s="23">
        <f>+O3</f>
        <v>449</v>
      </c>
      <c r="P4" s="23">
        <f>AVERAGE(Q3:AA3)</f>
        <v>432.36363636363637</v>
      </c>
      <c r="Q4" s="23">
        <f>AVERAGE(Q3:AA3)</f>
        <v>432.36363636363637</v>
      </c>
      <c r="R4" s="23">
        <f>AVERAGE(R3:AA3)</f>
        <v>431.8</v>
      </c>
      <c r="S4" s="23">
        <f>AVERAGE(S3:AA3)</f>
        <v>431.22222222222223</v>
      </c>
      <c r="T4" s="23">
        <f>AVERAGE(T3:AA3)</f>
        <v>430.75</v>
      </c>
      <c r="U4" s="23">
        <f>AVERAGE(U3:AA3)</f>
        <v>430.42857142857144</v>
      </c>
      <c r="V4" s="23">
        <f>AVERAGE(V3:AA3)</f>
        <v>430.16666666666669</v>
      </c>
      <c r="W4" s="23">
        <f>AVERAGE(W3:AA3)</f>
        <v>430.2</v>
      </c>
      <c r="X4" s="23">
        <f>AVERAGE(X3:AA3)</f>
        <v>430.75</v>
      </c>
      <c r="Y4" s="23">
        <f t="shared" ref="Y4:Z4" si="0">AVERAGE(Y3:Z3)</f>
        <v>427</v>
      </c>
      <c r="Z4" s="23">
        <f t="shared" si="0"/>
        <v>433.5</v>
      </c>
      <c r="AA4" s="1">
        <f>+AA3</f>
        <v>439</v>
      </c>
    </row>
    <row r="5" spans="1:27" ht="14.25" customHeight="1" x14ac:dyDescent="0.25">
      <c r="C5" s="1" t="s">
        <v>30</v>
      </c>
      <c r="D5" s="1">
        <v>461</v>
      </c>
      <c r="E5" s="1">
        <v>461</v>
      </c>
      <c r="F5" s="1">
        <v>461</v>
      </c>
      <c r="G5" s="1">
        <v>461</v>
      </c>
      <c r="H5" s="1">
        <v>461</v>
      </c>
      <c r="I5" s="1">
        <v>461</v>
      </c>
      <c r="J5" s="1">
        <v>461</v>
      </c>
      <c r="K5" s="1">
        <v>461</v>
      </c>
      <c r="L5" s="1">
        <v>461</v>
      </c>
      <c r="M5" s="1">
        <v>461</v>
      </c>
      <c r="N5" s="1">
        <v>461</v>
      </c>
      <c r="O5" s="1">
        <v>461</v>
      </c>
      <c r="P5" s="1">
        <v>460</v>
      </c>
      <c r="Q5" s="1">
        <v>460</v>
      </c>
      <c r="R5" s="1">
        <v>460</v>
      </c>
      <c r="S5" s="1">
        <v>460</v>
      </c>
      <c r="T5" s="1">
        <v>460</v>
      </c>
      <c r="U5" s="1">
        <v>460</v>
      </c>
      <c r="V5" s="1">
        <v>460</v>
      </c>
      <c r="W5" s="1">
        <v>460</v>
      </c>
      <c r="X5" s="1">
        <v>460</v>
      </c>
      <c r="Y5" s="1">
        <v>460</v>
      </c>
      <c r="Z5" s="1">
        <v>460</v>
      </c>
      <c r="AA5" s="1">
        <v>460</v>
      </c>
    </row>
    <row r="6" spans="1:27" ht="14.25" customHeight="1" x14ac:dyDescent="0.25">
      <c r="C6" s="1" t="s">
        <v>32</v>
      </c>
      <c r="D6" s="23">
        <f t="shared" ref="D6:AA6" si="1">+D4-D5</f>
        <v>-17.916666666666686</v>
      </c>
      <c r="E6" s="23">
        <f t="shared" si="1"/>
        <v>-18.454545454545439</v>
      </c>
      <c r="F6" s="23">
        <f t="shared" si="1"/>
        <v>-19.300000000000011</v>
      </c>
      <c r="G6" s="23">
        <f t="shared" si="1"/>
        <v>-19.777777777777771</v>
      </c>
      <c r="H6" s="23">
        <f t="shared" si="1"/>
        <v>-19.75</v>
      </c>
      <c r="I6" s="23">
        <f t="shared" si="1"/>
        <v>-19.428571428571445</v>
      </c>
      <c r="J6" s="23">
        <f t="shared" si="1"/>
        <v>-17.666666666666686</v>
      </c>
      <c r="K6" s="23">
        <f t="shared" si="1"/>
        <v>-17</v>
      </c>
      <c r="L6" s="23">
        <f t="shared" si="1"/>
        <v>-17.25</v>
      </c>
      <c r="M6" s="23">
        <f t="shared" si="1"/>
        <v>-16.333333333333314</v>
      </c>
      <c r="N6" s="23">
        <f t="shared" si="1"/>
        <v>-16</v>
      </c>
      <c r="O6" s="23">
        <f t="shared" si="1"/>
        <v>-12</v>
      </c>
      <c r="P6" s="23">
        <f t="shared" si="1"/>
        <v>-27.636363636363626</v>
      </c>
      <c r="Q6" s="23">
        <f t="shared" si="1"/>
        <v>-27.636363636363626</v>
      </c>
      <c r="R6" s="23">
        <f t="shared" si="1"/>
        <v>-28.199999999999989</v>
      </c>
      <c r="S6" s="23">
        <f t="shared" si="1"/>
        <v>-28.777777777777771</v>
      </c>
      <c r="T6" s="23">
        <f t="shared" si="1"/>
        <v>-29.25</v>
      </c>
      <c r="U6" s="23">
        <f t="shared" si="1"/>
        <v>-29.571428571428555</v>
      </c>
      <c r="V6" s="23">
        <f t="shared" si="1"/>
        <v>-29.833333333333314</v>
      </c>
      <c r="W6" s="23">
        <f t="shared" si="1"/>
        <v>-29.800000000000011</v>
      </c>
      <c r="X6" s="23">
        <f t="shared" si="1"/>
        <v>-29.25</v>
      </c>
      <c r="Y6" s="23">
        <f t="shared" si="1"/>
        <v>-33</v>
      </c>
      <c r="Z6" s="23">
        <f t="shared" si="1"/>
        <v>-26.5</v>
      </c>
      <c r="AA6" s="23">
        <f t="shared" si="1"/>
        <v>-21</v>
      </c>
    </row>
    <row r="7" spans="1:27" ht="14.25" customHeight="1" x14ac:dyDescent="0.25">
      <c r="C7" s="1" t="s">
        <v>34</v>
      </c>
      <c r="D7" s="24">
        <f t="shared" ref="D7:AA7" si="2">+D6*168</f>
        <v>-3010.0000000000032</v>
      </c>
      <c r="E7" s="24">
        <f t="shared" si="2"/>
        <v>-3100.3636363636338</v>
      </c>
      <c r="F7" s="24">
        <f t="shared" si="2"/>
        <v>-3242.4000000000019</v>
      </c>
      <c r="G7" s="24">
        <f t="shared" si="2"/>
        <v>-3322.6666666666656</v>
      </c>
      <c r="H7" s="24">
        <f t="shared" si="2"/>
        <v>-3318</v>
      </c>
      <c r="I7" s="24">
        <f t="shared" si="2"/>
        <v>-3264.0000000000027</v>
      </c>
      <c r="J7" s="24">
        <f t="shared" si="2"/>
        <v>-2968.0000000000032</v>
      </c>
      <c r="K7" s="24">
        <f t="shared" si="2"/>
        <v>-2856</v>
      </c>
      <c r="L7" s="24">
        <f t="shared" si="2"/>
        <v>-2898</v>
      </c>
      <c r="M7" s="24">
        <f t="shared" si="2"/>
        <v>-2743.9999999999968</v>
      </c>
      <c r="N7" s="24">
        <f t="shared" si="2"/>
        <v>-2688</v>
      </c>
      <c r="O7" s="24">
        <f t="shared" si="2"/>
        <v>-2016</v>
      </c>
      <c r="P7" s="24">
        <f t="shared" si="2"/>
        <v>-4642.9090909090892</v>
      </c>
      <c r="Q7" s="24">
        <f t="shared" si="2"/>
        <v>-4642.9090909090892</v>
      </c>
      <c r="R7" s="24">
        <f t="shared" si="2"/>
        <v>-4737.5999999999985</v>
      </c>
      <c r="S7" s="24">
        <f t="shared" si="2"/>
        <v>-4834.6666666666661</v>
      </c>
      <c r="T7" s="24">
        <f t="shared" si="2"/>
        <v>-4914</v>
      </c>
      <c r="U7" s="24">
        <f t="shared" si="2"/>
        <v>-4967.9999999999973</v>
      </c>
      <c r="V7" s="24">
        <f t="shared" si="2"/>
        <v>-5011.9999999999964</v>
      </c>
      <c r="W7" s="24">
        <f t="shared" si="2"/>
        <v>-5006.4000000000015</v>
      </c>
      <c r="X7" s="24">
        <f t="shared" si="2"/>
        <v>-4914</v>
      </c>
      <c r="Y7" s="24">
        <f t="shared" si="2"/>
        <v>-5544</v>
      </c>
      <c r="Z7" s="24">
        <f t="shared" si="2"/>
        <v>-4452</v>
      </c>
      <c r="AA7" s="24">
        <f t="shared" si="2"/>
        <v>-3528</v>
      </c>
    </row>
    <row r="8" spans="1:27" ht="14.25" customHeight="1" x14ac:dyDescent="0.2"/>
    <row r="9" spans="1:27" ht="14.25" customHeight="1" x14ac:dyDescent="0.25">
      <c r="C9" s="1" t="s">
        <v>60</v>
      </c>
      <c r="D9" s="48">
        <f>189615.06-50742-73793.84-21200</f>
        <v>43879.22</v>
      </c>
      <c r="E9" s="48">
        <f>186541.69-50742-73758.84-21200</f>
        <v>40840.850000000006</v>
      </c>
      <c r="F9" s="48">
        <f>179593.44-50742-73555.84-21187.5</f>
        <v>34108.100000000006</v>
      </c>
      <c r="G9" s="48">
        <f>168214.77-73037.84-21062.5-50742</f>
        <v>23372.429999999993</v>
      </c>
      <c r="H9" s="48">
        <f>165275.02-50742-72421.84-20762.5</f>
        <v>21348.679999999993</v>
      </c>
      <c r="I9" s="48">
        <f>161997.84-50677-20625-71189.84</f>
        <v>19506</v>
      </c>
      <c r="J9" s="48">
        <f>158489.58-50677-69999.84-19787.5</f>
        <v>18025.239999999991</v>
      </c>
      <c r="K9" s="48">
        <f>152773.52-18587.5-68899.94-49811</f>
        <v>15475.079999999987</v>
      </c>
      <c r="L9" s="48">
        <f>142850.75-43480-66953.84-18050</f>
        <v>14366.910000000003</v>
      </c>
      <c r="M9" s="48">
        <f>117858.96-25433-64007.84-17262.5</f>
        <v>11155.62000000001</v>
      </c>
      <c r="N9" s="48">
        <f>103380.46-19355-60530.17-16575</f>
        <v>6920.2900000000081</v>
      </c>
      <c r="O9" s="48">
        <f>91409.49-17515-53484.25-14875</f>
        <v>5535.2400000000052</v>
      </c>
    </row>
    <row r="10" spans="1:27" ht="14.25" customHeight="1" x14ac:dyDescent="0.25">
      <c r="C10" s="1" t="s">
        <v>58</v>
      </c>
      <c r="D10" s="48">
        <f>(58217-18000)/12*12</f>
        <v>40217</v>
      </c>
      <c r="E10" s="48">
        <f>(58217-18000)/12*11</f>
        <v>36865.583333333328</v>
      </c>
      <c r="F10" s="48">
        <f>(58217-18000)/12*10</f>
        <v>33514.166666666664</v>
      </c>
      <c r="G10" s="48">
        <f>(58217-18000)/12*9</f>
        <v>30162.75</v>
      </c>
      <c r="H10" s="48">
        <f>(58217-18000)/12*8</f>
        <v>26811.333333333332</v>
      </c>
      <c r="I10" s="48">
        <f>(58217-18000)/12*7</f>
        <v>23459.916666666664</v>
      </c>
      <c r="J10" s="48">
        <f>(58217-18000)/12*6</f>
        <v>20108.5</v>
      </c>
      <c r="K10" s="48">
        <f>(58217-18000)/12*5</f>
        <v>16757.083333333332</v>
      </c>
      <c r="L10" s="48">
        <f>(58217-18000)/12*4</f>
        <v>13405.666666666666</v>
      </c>
      <c r="M10" s="48">
        <f>(58217-18000)/12*3</f>
        <v>10054.25</v>
      </c>
      <c r="N10" s="48">
        <f>(58217-18000)/12*2</f>
        <v>6702.833333333333</v>
      </c>
      <c r="O10" s="48">
        <f>(58217-18000)/12</f>
        <v>3351.4166666666665</v>
      </c>
    </row>
    <row r="11" spans="1:27" ht="14.25" customHeight="1" x14ac:dyDescent="0.25">
      <c r="C11" s="1" t="s">
        <v>40</v>
      </c>
      <c r="D11" s="24">
        <f t="shared" ref="D11:O11" si="3">+D9-D10</f>
        <v>3662.2200000000012</v>
      </c>
      <c r="E11" s="24">
        <f t="shared" si="3"/>
        <v>3975.2666666666773</v>
      </c>
      <c r="F11" s="24">
        <f t="shared" si="3"/>
        <v>593.93333333334158</v>
      </c>
      <c r="G11" s="24">
        <f t="shared" si="3"/>
        <v>-6790.320000000007</v>
      </c>
      <c r="H11" s="24">
        <f t="shared" si="3"/>
        <v>-5462.6533333333391</v>
      </c>
      <c r="I11" s="24">
        <f t="shared" si="3"/>
        <v>-3953.9166666666642</v>
      </c>
      <c r="J11" s="24">
        <f t="shared" si="3"/>
        <v>-2083.2600000000093</v>
      </c>
      <c r="K11" s="24">
        <f t="shared" si="3"/>
        <v>-1282.0033333333449</v>
      </c>
      <c r="L11" s="24">
        <f t="shared" si="3"/>
        <v>961.24333333333743</v>
      </c>
      <c r="M11" s="24">
        <f t="shared" si="3"/>
        <v>1101.3700000000099</v>
      </c>
      <c r="N11" s="24">
        <f t="shared" si="3"/>
        <v>217.45666666667512</v>
      </c>
      <c r="O11" s="24">
        <f t="shared" si="3"/>
        <v>2183.8233333333387</v>
      </c>
    </row>
    <row r="12" spans="1:27" ht="14.25" customHeight="1" x14ac:dyDescent="0.25"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</row>
    <row r="13" spans="1:27" ht="14.25" customHeight="1" x14ac:dyDescent="0.25">
      <c r="C13" s="1" t="s">
        <v>61</v>
      </c>
      <c r="D13" s="48">
        <f>150690.29-37905.51</f>
        <v>112784.78</v>
      </c>
      <c r="E13" s="48">
        <f>141771.38-37905.51</f>
        <v>103865.87</v>
      </c>
      <c r="F13" s="48">
        <f>131940.21-37617.8</f>
        <v>94322.409999999989</v>
      </c>
      <c r="G13" s="48">
        <f>123167.82-36987</f>
        <v>86180.82</v>
      </c>
      <c r="H13" s="48">
        <f>115581.16-36987</f>
        <v>78594.16</v>
      </c>
      <c r="I13" s="48">
        <f>100991.76-36987</f>
        <v>64004.759999999995</v>
      </c>
      <c r="J13" s="48">
        <f>89873.8-35301.79</f>
        <v>54572.01</v>
      </c>
      <c r="K13" s="48">
        <f>57686.79-10566.83</f>
        <v>47119.96</v>
      </c>
      <c r="L13" s="48">
        <f>46573.23-7698.84</f>
        <v>38874.39</v>
      </c>
      <c r="M13" s="48">
        <f>35702.89-6835.98</f>
        <v>28866.91</v>
      </c>
      <c r="N13" s="48">
        <f>15509.91-392.48</f>
        <v>15117.43</v>
      </c>
      <c r="O13" s="48">
        <f>9727.03-198.3</f>
        <v>9528.7300000000014</v>
      </c>
      <c r="P13" s="48">
        <f>165283.61-55089.91</f>
        <v>110193.69999999998</v>
      </c>
      <c r="Q13" s="48">
        <f>154985.88-55089.91</f>
        <v>99895.97</v>
      </c>
      <c r="R13" s="48">
        <f>147908.73-55089.91</f>
        <v>92818.82</v>
      </c>
      <c r="S13" s="48">
        <f>137385.94-53318.11</f>
        <v>84067.83</v>
      </c>
      <c r="T13" s="48">
        <f>129017.7-53318.11</f>
        <v>75699.59</v>
      </c>
      <c r="U13" s="48">
        <f>120422.8-53318.11</f>
        <v>67104.69</v>
      </c>
      <c r="V13" s="48">
        <f>110494.93-53318.11</f>
        <v>57176.819999999992</v>
      </c>
      <c r="W13" s="48">
        <f>102406.75-52731.61</f>
        <v>49675.14</v>
      </c>
      <c r="X13" s="48">
        <f>56305.75-17474.25</f>
        <v>38831.5</v>
      </c>
      <c r="Y13" s="48">
        <f>29627.71-1697.38</f>
        <v>27930.329999999998</v>
      </c>
      <c r="Z13" s="48">
        <f>19782.49-632.98</f>
        <v>19149.510000000002</v>
      </c>
      <c r="AA13" s="48">
        <f>9721.86-132.98</f>
        <v>9588.880000000001</v>
      </c>
    </row>
    <row r="14" spans="1:27" ht="14.25" customHeight="1" x14ac:dyDescent="0.25">
      <c r="C14" s="1" t="s">
        <v>43</v>
      </c>
      <c r="D14" s="48">
        <f>+(171526-40275)/12*12</f>
        <v>131251</v>
      </c>
      <c r="E14" s="48">
        <f>+(171526-40275)/12*11</f>
        <v>120313.41666666667</v>
      </c>
      <c r="F14" s="48">
        <f>+(171526-40275)/12*10</f>
        <v>109375.83333333334</v>
      </c>
      <c r="G14" s="48">
        <f>+(171526-40275)/12*9</f>
        <v>98438.25</v>
      </c>
      <c r="H14" s="48">
        <f>+(171526-40275)/12*8</f>
        <v>87500.666666666672</v>
      </c>
      <c r="I14" s="48">
        <f>+(171526-40275)/12*7</f>
        <v>76563.083333333343</v>
      </c>
      <c r="J14" s="48">
        <f>+(171526-40275)/12*6</f>
        <v>65625.5</v>
      </c>
      <c r="K14" s="48">
        <f>+(171526-40275)/12*5</f>
        <v>54687.916666666672</v>
      </c>
      <c r="L14" s="48">
        <f>+(171526-40275)/12*4</f>
        <v>43750.333333333336</v>
      </c>
      <c r="M14" s="48">
        <f>+(171526-40275)/12*3</f>
        <v>32812.75</v>
      </c>
      <c r="N14" s="48">
        <f>+(171526-40275)/12*2</f>
        <v>21875.166666666668</v>
      </c>
      <c r="O14" s="48">
        <f>+(171526-40275)/12</f>
        <v>10937.583333333334</v>
      </c>
      <c r="P14" s="48">
        <f>131660/12*12</f>
        <v>131660</v>
      </c>
      <c r="Q14" s="48">
        <f>131660/12*11</f>
        <v>120688.33333333333</v>
      </c>
      <c r="R14" s="48">
        <f>131660/12*10</f>
        <v>109716.66666666666</v>
      </c>
      <c r="S14" s="48">
        <f>131660/12*9</f>
        <v>98745</v>
      </c>
      <c r="T14" s="48">
        <f>131660/12*8</f>
        <v>87773.333333333328</v>
      </c>
      <c r="U14" s="48">
        <f>131660/12*7</f>
        <v>76801.666666666657</v>
      </c>
      <c r="V14" s="48">
        <f>131660/12*6</f>
        <v>65830</v>
      </c>
      <c r="W14" s="48">
        <f>131660/12*5</f>
        <v>54858.333333333328</v>
      </c>
      <c r="X14" s="48">
        <f>131660/12*4</f>
        <v>43886.666666666664</v>
      </c>
      <c r="Y14" s="48">
        <f>131660/12*3</f>
        <v>32915</v>
      </c>
      <c r="Z14" s="48">
        <f>131660/12*2</f>
        <v>21943.333333333332</v>
      </c>
      <c r="AA14" s="48">
        <f>131660/12</f>
        <v>10971.666666666666</v>
      </c>
    </row>
    <row r="15" spans="1:27" ht="14.25" customHeight="1" x14ac:dyDescent="0.25">
      <c r="C15" s="1" t="s">
        <v>44</v>
      </c>
      <c r="D15" s="24">
        <f t="shared" ref="D15:AA15" si="4">+D14-D13</f>
        <v>18466.22</v>
      </c>
      <c r="E15" s="24">
        <f t="shared" si="4"/>
        <v>16447.546666666676</v>
      </c>
      <c r="F15" s="24">
        <f t="shared" si="4"/>
        <v>15053.423333333354</v>
      </c>
      <c r="G15" s="24">
        <f t="shared" si="4"/>
        <v>12257.429999999993</v>
      </c>
      <c r="H15" s="24">
        <f t="shared" si="4"/>
        <v>8906.506666666668</v>
      </c>
      <c r="I15" s="24">
        <f t="shared" si="4"/>
        <v>12558.323333333348</v>
      </c>
      <c r="J15" s="24">
        <f t="shared" si="4"/>
        <v>11053.489999999998</v>
      </c>
      <c r="K15" s="24">
        <f t="shared" si="4"/>
        <v>7567.9566666666724</v>
      </c>
      <c r="L15" s="24">
        <f t="shared" si="4"/>
        <v>4875.9433333333363</v>
      </c>
      <c r="M15" s="24">
        <f t="shared" si="4"/>
        <v>3945.84</v>
      </c>
      <c r="N15" s="24">
        <f t="shared" si="4"/>
        <v>6757.7366666666676</v>
      </c>
      <c r="O15" s="24">
        <f t="shared" si="4"/>
        <v>1408.8533333333326</v>
      </c>
      <c r="P15" s="24">
        <f t="shared" si="4"/>
        <v>21466.300000000017</v>
      </c>
      <c r="Q15" s="24">
        <f t="shared" si="4"/>
        <v>20792.363333333327</v>
      </c>
      <c r="R15" s="24">
        <f t="shared" si="4"/>
        <v>16897.84666666665</v>
      </c>
      <c r="S15" s="24">
        <f t="shared" si="4"/>
        <v>14677.169999999998</v>
      </c>
      <c r="T15" s="24">
        <f t="shared" si="4"/>
        <v>12073.743333333332</v>
      </c>
      <c r="U15" s="24">
        <f t="shared" si="4"/>
        <v>9696.9766666666546</v>
      </c>
      <c r="V15" s="24">
        <f t="shared" si="4"/>
        <v>8653.1800000000076</v>
      </c>
      <c r="W15" s="24">
        <f t="shared" si="4"/>
        <v>5183.1933333333291</v>
      </c>
      <c r="X15" s="24">
        <f t="shared" si="4"/>
        <v>5055.1666666666642</v>
      </c>
      <c r="Y15" s="24">
        <f t="shared" si="4"/>
        <v>4984.6700000000019</v>
      </c>
      <c r="Z15" s="24">
        <f t="shared" si="4"/>
        <v>2793.8233333333301</v>
      </c>
      <c r="AA15" s="24">
        <f t="shared" si="4"/>
        <v>1382.786666666665</v>
      </c>
    </row>
    <row r="16" spans="1:27" ht="14.25" customHeight="1" x14ac:dyDescent="0.25"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</row>
    <row r="17" spans="3:27" ht="14.25" customHeight="1" x14ac:dyDescent="0.25">
      <c r="C17" s="1" t="s">
        <v>46</v>
      </c>
      <c r="D17" s="27">
        <f t="shared" ref="D17:O17" si="5">+D15+D7+D11</f>
        <v>19118.439999999999</v>
      </c>
      <c r="E17" s="27">
        <f t="shared" si="5"/>
        <v>17322.449696969721</v>
      </c>
      <c r="F17" s="27">
        <f t="shared" si="5"/>
        <v>12404.956666666694</v>
      </c>
      <c r="G17" s="27">
        <f t="shared" si="5"/>
        <v>2144.44333333332</v>
      </c>
      <c r="H17" s="27">
        <f t="shared" si="5"/>
        <v>125.85333333332892</v>
      </c>
      <c r="I17" s="27">
        <f t="shared" si="5"/>
        <v>5340.4066666666804</v>
      </c>
      <c r="J17" s="27">
        <f t="shared" si="5"/>
        <v>6002.229999999985</v>
      </c>
      <c r="K17" s="27">
        <f t="shared" si="5"/>
        <v>3429.9533333333275</v>
      </c>
      <c r="L17" s="27">
        <f t="shared" si="5"/>
        <v>2939.1866666666738</v>
      </c>
      <c r="M17" s="27">
        <f t="shared" si="5"/>
        <v>2303.2100000000132</v>
      </c>
      <c r="N17" s="27">
        <f t="shared" si="5"/>
        <v>4287.1933333333427</v>
      </c>
      <c r="O17" s="27">
        <f t="shared" si="5"/>
        <v>1576.6766666666713</v>
      </c>
      <c r="P17" s="27">
        <f t="shared" ref="P17:AA17" si="6">+P15+P7</f>
        <v>16823.390909090929</v>
      </c>
      <c r="Q17" s="27">
        <f t="shared" si="6"/>
        <v>16149.454242424239</v>
      </c>
      <c r="R17" s="27">
        <f t="shared" si="6"/>
        <v>12160.246666666651</v>
      </c>
      <c r="S17" s="27">
        <f t="shared" si="6"/>
        <v>9842.5033333333322</v>
      </c>
      <c r="T17" s="27">
        <f t="shared" si="6"/>
        <v>7159.743333333332</v>
      </c>
      <c r="U17" s="27">
        <f t="shared" si="6"/>
        <v>4728.9766666666574</v>
      </c>
      <c r="V17" s="27">
        <f t="shared" si="6"/>
        <v>3641.1800000000112</v>
      </c>
      <c r="W17" s="27">
        <f t="shared" si="6"/>
        <v>176.79333333332761</v>
      </c>
      <c r="X17" s="27">
        <f t="shared" si="6"/>
        <v>141.16666666666424</v>
      </c>
      <c r="Y17" s="27">
        <f t="shared" si="6"/>
        <v>-559.32999999999811</v>
      </c>
      <c r="Z17" s="27">
        <f t="shared" si="6"/>
        <v>-1658.1766666666699</v>
      </c>
      <c r="AA17" s="27">
        <f t="shared" si="6"/>
        <v>-2145.213333333335</v>
      </c>
    </row>
    <row r="18" spans="3:27" ht="14.25" customHeight="1" x14ac:dyDescent="0.2"/>
    <row r="19" spans="3:27" ht="14.25" customHeight="1" x14ac:dyDescent="0.25">
      <c r="C19" s="1" t="s">
        <v>48</v>
      </c>
      <c r="D19" s="48">
        <v>158743.64000000001</v>
      </c>
      <c r="E19" s="48">
        <v>138236.38</v>
      </c>
      <c r="F19" s="48">
        <v>139914.1</v>
      </c>
      <c r="G19" s="48">
        <v>136897.97</v>
      </c>
      <c r="H19" s="48">
        <v>133154.15</v>
      </c>
      <c r="I19" s="48">
        <v>141056.29</v>
      </c>
      <c r="J19" s="48">
        <v>146472.87</v>
      </c>
      <c r="K19" s="48">
        <v>171294.25</v>
      </c>
      <c r="L19" s="48">
        <v>171543.28</v>
      </c>
      <c r="M19" s="48">
        <v>155924.75</v>
      </c>
      <c r="N19" s="48">
        <v>154498.1</v>
      </c>
      <c r="O19" s="48">
        <v>152371.14000000001</v>
      </c>
      <c r="P19" s="48">
        <v>120388.32</v>
      </c>
      <c r="Q19" s="48">
        <v>99920.19</v>
      </c>
      <c r="R19" s="48">
        <v>101238.88</v>
      </c>
      <c r="S19" s="48">
        <v>105639.09</v>
      </c>
      <c r="T19" s="48">
        <v>108992.54</v>
      </c>
      <c r="U19" s="48">
        <v>112437.44</v>
      </c>
      <c r="V19" s="48">
        <v>113633.69</v>
      </c>
      <c r="W19" s="48">
        <v>115805.19</v>
      </c>
      <c r="X19" s="48">
        <v>157672.74</v>
      </c>
      <c r="Y19" s="48">
        <v>164947.21</v>
      </c>
      <c r="Z19" s="48">
        <v>154575.5</v>
      </c>
      <c r="AA19" s="48">
        <v>151253.48000000001</v>
      </c>
    </row>
    <row r="20" spans="3:27" ht="14.25" customHeight="1" x14ac:dyDescent="0.25">
      <c r="C20" s="1" t="s">
        <v>50</v>
      </c>
      <c r="D20" s="48">
        <v>-46210.35</v>
      </c>
      <c r="E20" s="48">
        <v>-46210.35</v>
      </c>
      <c r="F20" s="48">
        <v>-46210.35</v>
      </c>
      <c r="G20" s="48">
        <v>-46210.35</v>
      </c>
      <c r="H20" s="48">
        <v>-46210.35</v>
      </c>
      <c r="I20" s="48">
        <v>-46210.35</v>
      </c>
      <c r="J20" s="48">
        <v>-46210.35</v>
      </c>
      <c r="K20" s="48">
        <v>-46210.35</v>
      </c>
      <c r="L20" s="48">
        <v>-46210.35</v>
      </c>
      <c r="M20" s="48">
        <v>-46210.35</v>
      </c>
      <c r="N20" s="48">
        <v>-46210.35</v>
      </c>
      <c r="O20" s="48">
        <v>-46210.35</v>
      </c>
      <c r="P20" s="48">
        <v>-47919.53</v>
      </c>
      <c r="Q20" s="48">
        <v>-47919.53</v>
      </c>
      <c r="R20" s="48">
        <v>-47919.53</v>
      </c>
      <c r="S20" s="48">
        <v>-47919.53</v>
      </c>
      <c r="T20" s="48">
        <v>-47919.53</v>
      </c>
      <c r="U20" s="48">
        <v>-47919.53</v>
      </c>
      <c r="V20" s="48">
        <v>-47919.53</v>
      </c>
      <c r="W20" s="48">
        <v>-47919.53</v>
      </c>
      <c r="X20" s="48">
        <v>-47919.53</v>
      </c>
      <c r="Y20" s="48">
        <v>-47919.53</v>
      </c>
      <c r="Z20" s="48">
        <v>-47919.53</v>
      </c>
      <c r="AA20" s="48">
        <v>-47919.53</v>
      </c>
    </row>
    <row r="21" spans="3:27" ht="14.25" customHeight="1" x14ac:dyDescent="0.25">
      <c r="D21" s="28">
        <f t="shared" ref="D21:AA21" si="7">SUM(D19:D20)</f>
        <v>112533.29000000001</v>
      </c>
      <c r="E21" s="28">
        <f t="shared" si="7"/>
        <v>92026.03</v>
      </c>
      <c r="F21" s="28">
        <f t="shared" si="7"/>
        <v>93703.75</v>
      </c>
      <c r="G21" s="28">
        <f t="shared" si="7"/>
        <v>90687.62</v>
      </c>
      <c r="H21" s="28">
        <f t="shared" si="7"/>
        <v>86943.799999999988</v>
      </c>
      <c r="I21" s="28">
        <f t="shared" si="7"/>
        <v>94845.94</v>
      </c>
      <c r="J21" s="28">
        <f t="shared" si="7"/>
        <v>100262.51999999999</v>
      </c>
      <c r="K21" s="28">
        <f t="shared" si="7"/>
        <v>125083.9</v>
      </c>
      <c r="L21" s="28">
        <f t="shared" si="7"/>
        <v>125332.93</v>
      </c>
      <c r="M21" s="28">
        <f t="shared" si="7"/>
        <v>109714.4</v>
      </c>
      <c r="N21" s="28">
        <f t="shared" si="7"/>
        <v>108287.75</v>
      </c>
      <c r="O21" s="28">
        <f t="shared" si="7"/>
        <v>106160.79000000001</v>
      </c>
      <c r="P21" s="28">
        <f t="shared" si="7"/>
        <v>72468.790000000008</v>
      </c>
      <c r="Q21" s="28">
        <f t="shared" si="7"/>
        <v>52000.66</v>
      </c>
      <c r="R21" s="28">
        <f t="shared" si="7"/>
        <v>53319.350000000006</v>
      </c>
      <c r="S21" s="28">
        <f t="shared" si="7"/>
        <v>57719.56</v>
      </c>
      <c r="T21" s="28">
        <f t="shared" si="7"/>
        <v>61073.009999999995</v>
      </c>
      <c r="U21" s="28">
        <f t="shared" si="7"/>
        <v>64517.91</v>
      </c>
      <c r="V21" s="28">
        <f t="shared" si="7"/>
        <v>65714.16</v>
      </c>
      <c r="W21" s="28">
        <f t="shared" si="7"/>
        <v>67885.66</v>
      </c>
      <c r="X21" s="28">
        <f t="shared" si="7"/>
        <v>109753.20999999999</v>
      </c>
      <c r="Y21" s="28">
        <f t="shared" si="7"/>
        <v>117027.68</v>
      </c>
      <c r="Z21" s="28">
        <f t="shared" si="7"/>
        <v>106655.97</v>
      </c>
      <c r="AA21" s="28">
        <f t="shared" si="7"/>
        <v>103333.95000000001</v>
      </c>
    </row>
    <row r="22" spans="3:27" ht="14.25" customHeight="1" x14ac:dyDescent="0.2"/>
    <row r="23" spans="3:27" ht="14.25" customHeight="1" x14ac:dyDescent="0.25">
      <c r="C23" s="1" t="s">
        <v>52</v>
      </c>
      <c r="D23" s="59">
        <v>12836.49</v>
      </c>
      <c r="E23" s="59">
        <v>12836.49</v>
      </c>
      <c r="F23" s="59">
        <v>13124.2</v>
      </c>
      <c r="G23" s="59">
        <v>13755</v>
      </c>
      <c r="H23" s="59">
        <v>13755</v>
      </c>
      <c r="I23" s="59">
        <v>13755</v>
      </c>
      <c r="J23" s="59">
        <v>15375.21</v>
      </c>
      <c r="K23" s="60" t="s">
        <v>53</v>
      </c>
      <c r="L23" s="60" t="s">
        <v>53</v>
      </c>
      <c r="M23" s="60" t="s">
        <v>53</v>
      </c>
      <c r="N23" s="60" t="s">
        <v>53</v>
      </c>
      <c r="O23" s="60" t="s">
        <v>53</v>
      </c>
      <c r="P23" s="59">
        <v>-17550.150000000001</v>
      </c>
      <c r="Q23" s="59">
        <v>-17550.150000000001</v>
      </c>
      <c r="R23" s="59">
        <v>-17550.150000000001</v>
      </c>
      <c r="S23" s="59">
        <v>-15778.35</v>
      </c>
      <c r="T23" s="59">
        <v>-15778.35</v>
      </c>
      <c r="U23" s="59">
        <v>-15778.35</v>
      </c>
      <c r="V23" s="59">
        <v>-15778.35</v>
      </c>
      <c r="W23" s="59">
        <v>-15191.85</v>
      </c>
      <c r="X23" s="60" t="s">
        <v>53</v>
      </c>
      <c r="Y23" s="60" t="s">
        <v>53</v>
      </c>
      <c r="Z23" s="60" t="s">
        <v>53</v>
      </c>
      <c r="AA23" s="60" t="s">
        <v>53</v>
      </c>
    </row>
    <row r="24" spans="3:27" ht="14.25" customHeight="1" x14ac:dyDescent="0.2"/>
    <row r="25" spans="3:27" ht="14.25" customHeight="1" x14ac:dyDescent="0.25">
      <c r="E25" s="48"/>
      <c r="F25" s="48"/>
    </row>
    <row r="26" spans="3:27" ht="14.25" customHeight="1" x14ac:dyDescent="0.25">
      <c r="D26" s="61"/>
      <c r="N26" s="48"/>
    </row>
    <row r="27" spans="3:27" ht="14.25" customHeight="1" x14ac:dyDescent="0.2"/>
    <row r="28" spans="3:27" ht="14.25" customHeight="1" x14ac:dyDescent="0.2"/>
    <row r="29" spans="3:27" ht="14.25" customHeight="1" x14ac:dyDescent="0.2"/>
    <row r="30" spans="3:27" ht="14.25" customHeight="1" x14ac:dyDescent="0.25">
      <c r="N30" s="48"/>
    </row>
    <row r="31" spans="3:27" ht="14.25" customHeight="1" x14ac:dyDescent="0.2"/>
    <row r="32" spans="3:27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2">
    <mergeCell ref="D1:F1"/>
    <mergeCell ref="P1:R1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000"/>
  <sheetViews>
    <sheetView workbookViewId="0"/>
  </sheetViews>
  <sheetFormatPr defaultColWidth="12.625" defaultRowHeight="15" customHeight="1" x14ac:dyDescent="0.2"/>
  <cols>
    <col min="1" max="2" width="7.625" customWidth="1"/>
    <col min="3" max="3" width="45.625" customWidth="1"/>
    <col min="4" max="5" width="12.875" customWidth="1"/>
    <col min="6" max="6" width="10.5" customWidth="1"/>
    <col min="7" max="11" width="11.875" customWidth="1"/>
    <col min="12" max="12" width="12.5" customWidth="1"/>
    <col min="13" max="15" width="9.75" customWidth="1"/>
    <col min="16" max="26" width="7.625" customWidth="1"/>
  </cols>
  <sheetData>
    <row r="1" spans="1:15" ht="14.25" customHeight="1" x14ac:dyDescent="0.25">
      <c r="A1" s="1" t="s">
        <v>1</v>
      </c>
    </row>
    <row r="2" spans="1:15" ht="14.25" customHeight="1" x14ac:dyDescent="0.25">
      <c r="D2" s="35" t="s">
        <v>20</v>
      </c>
      <c r="E2" s="35" t="s">
        <v>21</v>
      </c>
      <c r="F2" s="35" t="s">
        <v>22</v>
      </c>
      <c r="G2" s="35" t="s">
        <v>23</v>
      </c>
      <c r="H2" s="35" t="s">
        <v>24</v>
      </c>
      <c r="I2" s="35" t="s">
        <v>14</v>
      </c>
      <c r="J2" s="35" t="s">
        <v>15</v>
      </c>
      <c r="K2" s="35" t="s">
        <v>5</v>
      </c>
      <c r="L2" s="35" t="s">
        <v>16</v>
      </c>
      <c r="M2" s="35" t="s">
        <v>17</v>
      </c>
      <c r="N2" s="35" t="s">
        <v>18</v>
      </c>
      <c r="O2" s="35" t="s">
        <v>19</v>
      </c>
    </row>
    <row r="3" spans="1:15" ht="14.25" customHeight="1" x14ac:dyDescent="0.25">
      <c r="C3" s="1" t="s">
        <v>59</v>
      </c>
      <c r="D3" s="1">
        <v>440</v>
      </c>
      <c r="E3" s="1">
        <v>438</v>
      </c>
      <c r="F3" s="1">
        <v>437</v>
      </c>
      <c r="G3" s="1">
        <v>435</v>
      </c>
      <c r="H3" s="1">
        <v>433</v>
      </c>
      <c r="I3" s="1">
        <v>432</v>
      </c>
      <c r="J3" s="1">
        <v>430</v>
      </c>
      <c r="K3" s="1">
        <v>428</v>
      </c>
      <c r="L3" s="1">
        <v>430</v>
      </c>
      <c r="M3" s="1">
        <v>426</v>
      </c>
      <c r="N3" s="1">
        <v>428</v>
      </c>
      <c r="O3" s="1">
        <v>439</v>
      </c>
    </row>
    <row r="4" spans="1:15" ht="14.25" customHeight="1" x14ac:dyDescent="0.25">
      <c r="C4" s="1" t="s">
        <v>28</v>
      </c>
      <c r="D4" s="23">
        <f>AVERAGE(E3:O3)</f>
        <v>432.36363636363637</v>
      </c>
      <c r="E4" s="23">
        <f>AVERAGE(E3:O3)</f>
        <v>432.36363636363637</v>
      </c>
      <c r="F4" s="23">
        <f>AVERAGE(F3:O3)</f>
        <v>431.8</v>
      </c>
      <c r="G4" s="23">
        <f>AVERAGE(G3:O3)</f>
        <v>431.22222222222223</v>
      </c>
      <c r="H4" s="23">
        <f>AVERAGE(H3:O3)</f>
        <v>430.75</v>
      </c>
      <c r="I4" s="23">
        <f>AVERAGE(I3:O3)</f>
        <v>430.42857142857144</v>
      </c>
      <c r="J4" s="23">
        <f>AVERAGE(J3:O3)</f>
        <v>430.16666666666669</v>
      </c>
      <c r="K4" s="23">
        <f>AVERAGE(K3:O3)</f>
        <v>430.2</v>
      </c>
      <c r="L4" s="23">
        <f>AVERAGE(L3:O3)</f>
        <v>430.75</v>
      </c>
      <c r="M4" s="23">
        <f t="shared" ref="M4:N4" si="0">AVERAGE(M3:N3)</f>
        <v>427</v>
      </c>
      <c r="N4" s="23">
        <f t="shared" si="0"/>
        <v>433.5</v>
      </c>
      <c r="O4" s="1">
        <f>+O3</f>
        <v>439</v>
      </c>
    </row>
    <row r="5" spans="1:15" ht="14.25" customHeight="1" x14ac:dyDescent="0.25">
      <c r="C5" s="1" t="s">
        <v>30</v>
      </c>
      <c r="D5" s="1">
        <v>460</v>
      </c>
      <c r="E5" s="1">
        <v>460</v>
      </c>
      <c r="F5" s="1">
        <v>460</v>
      </c>
      <c r="G5" s="1">
        <v>460</v>
      </c>
      <c r="H5" s="1">
        <v>460</v>
      </c>
      <c r="I5" s="1">
        <v>460</v>
      </c>
      <c r="J5" s="1">
        <v>460</v>
      </c>
      <c r="K5" s="1">
        <v>460</v>
      </c>
      <c r="L5" s="1">
        <v>460</v>
      </c>
      <c r="M5" s="1">
        <v>460</v>
      </c>
      <c r="N5" s="1">
        <v>460</v>
      </c>
      <c r="O5" s="1">
        <v>460</v>
      </c>
    </row>
    <row r="6" spans="1:15" ht="14.25" customHeight="1" x14ac:dyDescent="0.25">
      <c r="C6" s="1" t="s">
        <v>32</v>
      </c>
      <c r="D6" s="23">
        <f t="shared" ref="D6:O6" si="1">+D4-D5</f>
        <v>-27.636363636363626</v>
      </c>
      <c r="E6" s="23">
        <f t="shared" si="1"/>
        <v>-27.636363636363626</v>
      </c>
      <c r="F6" s="23">
        <f t="shared" si="1"/>
        <v>-28.199999999999989</v>
      </c>
      <c r="G6" s="23">
        <f t="shared" si="1"/>
        <v>-28.777777777777771</v>
      </c>
      <c r="H6" s="23">
        <f t="shared" si="1"/>
        <v>-29.25</v>
      </c>
      <c r="I6" s="23">
        <f t="shared" si="1"/>
        <v>-29.571428571428555</v>
      </c>
      <c r="J6" s="23">
        <f t="shared" si="1"/>
        <v>-29.833333333333314</v>
      </c>
      <c r="K6" s="23">
        <f t="shared" si="1"/>
        <v>-29.800000000000011</v>
      </c>
      <c r="L6" s="23">
        <f t="shared" si="1"/>
        <v>-29.25</v>
      </c>
      <c r="M6" s="23">
        <f t="shared" si="1"/>
        <v>-33</v>
      </c>
      <c r="N6" s="23">
        <f t="shared" si="1"/>
        <v>-26.5</v>
      </c>
      <c r="O6" s="23">
        <f t="shared" si="1"/>
        <v>-21</v>
      </c>
    </row>
    <row r="7" spans="1:15" ht="14.25" customHeight="1" x14ac:dyDescent="0.25">
      <c r="C7" s="1" t="s">
        <v>34</v>
      </c>
      <c r="D7" s="24">
        <f t="shared" ref="D7:O7" si="2">+D6*168</f>
        <v>-4642.9090909090892</v>
      </c>
      <c r="E7" s="24">
        <f t="shared" si="2"/>
        <v>-4642.9090909090892</v>
      </c>
      <c r="F7" s="24">
        <f t="shared" si="2"/>
        <v>-4737.5999999999985</v>
      </c>
      <c r="G7" s="24">
        <f t="shared" si="2"/>
        <v>-4834.6666666666661</v>
      </c>
      <c r="H7" s="24">
        <f t="shared" si="2"/>
        <v>-4914</v>
      </c>
      <c r="I7" s="24">
        <f t="shared" si="2"/>
        <v>-4967.9999999999973</v>
      </c>
      <c r="J7" s="24">
        <f t="shared" si="2"/>
        <v>-5011.9999999999964</v>
      </c>
      <c r="K7" s="24">
        <f t="shared" si="2"/>
        <v>-5006.4000000000015</v>
      </c>
      <c r="L7" s="24">
        <f t="shared" si="2"/>
        <v>-4914</v>
      </c>
      <c r="M7" s="24">
        <f t="shared" si="2"/>
        <v>-5544</v>
      </c>
      <c r="N7" s="24">
        <f t="shared" si="2"/>
        <v>-4452</v>
      </c>
      <c r="O7" s="24">
        <f t="shared" si="2"/>
        <v>-3528</v>
      </c>
    </row>
    <row r="8" spans="1:15" ht="14.25" customHeight="1" x14ac:dyDescent="0.2"/>
    <row r="9" spans="1:15" ht="14.25" customHeight="1" x14ac:dyDescent="0.25">
      <c r="C9" s="1" t="s">
        <v>60</v>
      </c>
    </row>
    <row r="10" spans="1:15" ht="14.25" customHeight="1" x14ac:dyDescent="0.25">
      <c r="C10" s="1" t="s">
        <v>58</v>
      </c>
    </row>
    <row r="11" spans="1:15" ht="14.25" customHeight="1" x14ac:dyDescent="0.25">
      <c r="C11" s="1" t="s">
        <v>40</v>
      </c>
    </row>
    <row r="12" spans="1:15" ht="14.25" customHeight="1" x14ac:dyDescent="0.2"/>
    <row r="13" spans="1:15" ht="14.25" customHeight="1" x14ac:dyDescent="0.25">
      <c r="C13" s="1" t="s">
        <v>61</v>
      </c>
      <c r="D13" s="48">
        <f>165283.61-55089.91</f>
        <v>110193.69999999998</v>
      </c>
      <c r="E13" s="48">
        <f>154985.88-55089.91</f>
        <v>99895.97</v>
      </c>
      <c r="F13" s="48">
        <f>147908.73-55089.91</f>
        <v>92818.82</v>
      </c>
      <c r="G13" s="48">
        <f>137385.94-53318.11</f>
        <v>84067.83</v>
      </c>
      <c r="H13" s="48">
        <f>129017.7-53318.11</f>
        <v>75699.59</v>
      </c>
      <c r="I13" s="48">
        <f>120422.8-53318.11</f>
        <v>67104.69</v>
      </c>
      <c r="J13" s="48">
        <f>110494.93-53318.11</f>
        <v>57176.819999999992</v>
      </c>
      <c r="K13" s="48">
        <f>102406.75-52731.61</f>
        <v>49675.14</v>
      </c>
      <c r="L13" s="48">
        <f>56305.75-17474.25</f>
        <v>38831.5</v>
      </c>
      <c r="M13" s="48">
        <f>29627.71-1697.38</f>
        <v>27930.329999999998</v>
      </c>
      <c r="N13" s="48">
        <f>19782.49-632.98</f>
        <v>19149.510000000002</v>
      </c>
      <c r="O13" s="48">
        <f>9721.86-132.98</f>
        <v>9588.880000000001</v>
      </c>
    </row>
    <row r="14" spans="1:15" ht="14.25" customHeight="1" x14ac:dyDescent="0.25">
      <c r="C14" s="1" t="s">
        <v>43</v>
      </c>
      <c r="D14" s="48">
        <f>131660/12*12</f>
        <v>131660</v>
      </c>
      <c r="E14" s="48">
        <f>131660/12*11</f>
        <v>120688.33333333333</v>
      </c>
      <c r="F14" s="48">
        <f>131660/12*10</f>
        <v>109716.66666666666</v>
      </c>
      <c r="G14" s="48">
        <f>131660/12*9</f>
        <v>98745</v>
      </c>
      <c r="H14" s="48">
        <f>131660/12*8</f>
        <v>87773.333333333328</v>
      </c>
      <c r="I14" s="48">
        <f>131660/12*7</f>
        <v>76801.666666666657</v>
      </c>
      <c r="J14" s="48">
        <f>131660/12*6</f>
        <v>65830</v>
      </c>
      <c r="K14" s="48">
        <f>131660/12*5</f>
        <v>54858.333333333328</v>
      </c>
      <c r="L14" s="48">
        <f>131660/12*4</f>
        <v>43886.666666666664</v>
      </c>
      <c r="M14" s="48">
        <f>131660/12*3</f>
        <v>32915</v>
      </c>
      <c r="N14" s="48">
        <f>131660/12*2</f>
        <v>21943.333333333332</v>
      </c>
      <c r="O14" s="48">
        <f>131660/12</f>
        <v>10971.666666666666</v>
      </c>
    </row>
    <row r="15" spans="1:15" ht="14.25" customHeight="1" x14ac:dyDescent="0.25">
      <c r="C15" s="1" t="s">
        <v>44</v>
      </c>
      <c r="D15" s="24">
        <f t="shared" ref="D15:O15" si="3">+D14-D13</f>
        <v>21466.300000000017</v>
      </c>
      <c r="E15" s="24">
        <f t="shared" si="3"/>
        <v>20792.363333333327</v>
      </c>
      <c r="F15" s="24">
        <f t="shared" si="3"/>
        <v>16897.84666666665</v>
      </c>
      <c r="G15" s="24">
        <f t="shared" si="3"/>
        <v>14677.169999999998</v>
      </c>
      <c r="H15" s="24">
        <f t="shared" si="3"/>
        <v>12073.743333333332</v>
      </c>
      <c r="I15" s="24">
        <f t="shared" si="3"/>
        <v>9696.9766666666546</v>
      </c>
      <c r="J15" s="24">
        <f t="shared" si="3"/>
        <v>8653.1800000000076</v>
      </c>
      <c r="K15" s="24">
        <f t="shared" si="3"/>
        <v>5183.1933333333291</v>
      </c>
      <c r="L15" s="24">
        <f t="shared" si="3"/>
        <v>5055.1666666666642</v>
      </c>
      <c r="M15" s="24">
        <f t="shared" si="3"/>
        <v>4984.6700000000019</v>
      </c>
      <c r="N15" s="24">
        <f t="shared" si="3"/>
        <v>2793.8233333333301</v>
      </c>
      <c r="O15" s="24">
        <f t="shared" si="3"/>
        <v>1382.786666666665</v>
      </c>
    </row>
    <row r="16" spans="1:15" ht="14.25" customHeight="1" x14ac:dyDescent="0.25"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</row>
    <row r="17" spans="3:15" ht="14.25" customHeight="1" x14ac:dyDescent="0.25">
      <c r="C17" s="1" t="s">
        <v>46</v>
      </c>
      <c r="D17" s="27">
        <f t="shared" ref="D17:O17" si="4">+D15+D7</f>
        <v>16823.390909090929</v>
      </c>
      <c r="E17" s="27">
        <f t="shared" si="4"/>
        <v>16149.454242424239</v>
      </c>
      <c r="F17" s="27">
        <f t="shared" si="4"/>
        <v>12160.246666666651</v>
      </c>
      <c r="G17" s="27">
        <f t="shared" si="4"/>
        <v>9842.5033333333322</v>
      </c>
      <c r="H17" s="27">
        <f t="shared" si="4"/>
        <v>7159.743333333332</v>
      </c>
      <c r="I17" s="27">
        <f t="shared" si="4"/>
        <v>4728.9766666666574</v>
      </c>
      <c r="J17" s="27">
        <f t="shared" si="4"/>
        <v>3641.1800000000112</v>
      </c>
      <c r="K17" s="27">
        <f t="shared" si="4"/>
        <v>176.79333333332761</v>
      </c>
      <c r="L17" s="27">
        <f t="shared" si="4"/>
        <v>141.16666666666424</v>
      </c>
      <c r="M17" s="27">
        <f t="shared" si="4"/>
        <v>-559.32999999999811</v>
      </c>
      <c r="N17" s="27">
        <f t="shared" si="4"/>
        <v>-1658.1766666666699</v>
      </c>
      <c r="O17" s="27">
        <f t="shared" si="4"/>
        <v>-2145.213333333335</v>
      </c>
    </row>
    <row r="18" spans="3:15" ht="14.25" customHeight="1" x14ac:dyDescent="0.2"/>
    <row r="19" spans="3:15" ht="14.25" customHeight="1" x14ac:dyDescent="0.25">
      <c r="C19" s="1" t="s">
        <v>48</v>
      </c>
      <c r="D19" s="48">
        <v>120388.32</v>
      </c>
      <c r="E19" s="48">
        <v>99920.19</v>
      </c>
      <c r="F19" s="48">
        <v>101238.88</v>
      </c>
      <c r="G19" s="48">
        <v>105639.09</v>
      </c>
      <c r="H19" s="48">
        <v>108992.54</v>
      </c>
      <c r="I19" s="48">
        <v>112437.44</v>
      </c>
      <c r="J19" s="48">
        <v>113633.69</v>
      </c>
      <c r="K19" s="48">
        <v>115805.19</v>
      </c>
      <c r="L19" s="48">
        <v>157672.74</v>
      </c>
      <c r="M19" s="48">
        <v>164947.21</v>
      </c>
      <c r="N19" s="48">
        <v>154575.5</v>
      </c>
      <c r="O19" s="48">
        <v>151253.48000000001</v>
      </c>
    </row>
    <row r="20" spans="3:15" ht="14.25" customHeight="1" x14ac:dyDescent="0.25">
      <c r="C20" s="1" t="s">
        <v>50</v>
      </c>
      <c r="D20" s="48">
        <v>-47919.53</v>
      </c>
      <c r="E20" s="48">
        <v>-47919.53</v>
      </c>
      <c r="F20" s="48">
        <v>-47919.53</v>
      </c>
      <c r="G20" s="48">
        <v>-47919.53</v>
      </c>
      <c r="H20" s="48">
        <v>-47919.53</v>
      </c>
      <c r="I20" s="48">
        <v>-47919.53</v>
      </c>
      <c r="J20" s="48">
        <v>-47919.53</v>
      </c>
      <c r="K20" s="48">
        <v>-47919.53</v>
      </c>
      <c r="L20" s="48">
        <v>-47919.53</v>
      </c>
      <c r="M20" s="48">
        <v>-47919.53</v>
      </c>
      <c r="N20" s="48">
        <v>-47919.53</v>
      </c>
      <c r="O20" s="48">
        <v>-47919.53</v>
      </c>
    </row>
    <row r="21" spans="3:15" ht="14.25" customHeight="1" x14ac:dyDescent="0.25">
      <c r="D21" s="28">
        <f t="shared" ref="D21:O21" si="5">SUM(D19:D20)</f>
        <v>72468.790000000008</v>
      </c>
      <c r="E21" s="28">
        <f t="shared" si="5"/>
        <v>52000.66</v>
      </c>
      <c r="F21" s="28">
        <f t="shared" si="5"/>
        <v>53319.350000000006</v>
      </c>
      <c r="G21" s="28">
        <f t="shared" si="5"/>
        <v>57719.56</v>
      </c>
      <c r="H21" s="28">
        <f t="shared" si="5"/>
        <v>61073.009999999995</v>
      </c>
      <c r="I21" s="28">
        <f t="shared" si="5"/>
        <v>64517.91</v>
      </c>
      <c r="J21" s="28">
        <f t="shared" si="5"/>
        <v>65714.16</v>
      </c>
      <c r="K21" s="28">
        <f t="shared" si="5"/>
        <v>67885.66</v>
      </c>
      <c r="L21" s="28">
        <f t="shared" si="5"/>
        <v>109753.20999999999</v>
      </c>
      <c r="M21" s="28">
        <f t="shared" si="5"/>
        <v>117027.68</v>
      </c>
      <c r="N21" s="28">
        <f t="shared" si="5"/>
        <v>106655.97</v>
      </c>
      <c r="O21" s="28">
        <f t="shared" si="5"/>
        <v>103333.95000000001</v>
      </c>
    </row>
    <row r="22" spans="3:15" ht="14.25" customHeight="1" x14ac:dyDescent="0.2"/>
    <row r="23" spans="3:15" ht="14.25" customHeight="1" x14ac:dyDescent="0.25">
      <c r="C23" s="1" t="s">
        <v>52</v>
      </c>
      <c r="D23" s="59">
        <v>-17550.150000000001</v>
      </c>
      <c r="E23" s="59">
        <v>-17550.150000000001</v>
      </c>
      <c r="F23" s="59">
        <v>-17550.150000000001</v>
      </c>
      <c r="G23" s="59">
        <v>-15778.35</v>
      </c>
      <c r="H23" s="59">
        <v>-15778.35</v>
      </c>
      <c r="I23" s="59">
        <v>-15778.35</v>
      </c>
      <c r="J23" s="59">
        <v>-15778.35</v>
      </c>
      <c r="K23" s="59">
        <v>-15191.85</v>
      </c>
      <c r="L23" s="60" t="s">
        <v>53</v>
      </c>
      <c r="M23" s="60" t="s">
        <v>53</v>
      </c>
      <c r="N23" s="60" t="s">
        <v>53</v>
      </c>
      <c r="O23" s="60" t="s">
        <v>53</v>
      </c>
    </row>
    <row r="24" spans="3:15" ht="14.25" customHeight="1" x14ac:dyDescent="0.2"/>
    <row r="25" spans="3:15" ht="14.25" customHeight="1" x14ac:dyDescent="0.2"/>
    <row r="26" spans="3:15" ht="14.25" customHeight="1" x14ac:dyDescent="0.2"/>
    <row r="27" spans="3:15" ht="14.25" customHeight="1" x14ac:dyDescent="0.2"/>
    <row r="28" spans="3:15" ht="14.25" customHeight="1" x14ac:dyDescent="0.2"/>
    <row r="29" spans="3:15" ht="14.25" customHeight="1" x14ac:dyDescent="0.2"/>
    <row r="30" spans="3:15" ht="14.25" customHeight="1" x14ac:dyDescent="0.2"/>
    <row r="31" spans="3:15" ht="14.25" customHeight="1" x14ac:dyDescent="0.2"/>
    <row r="32" spans="3:15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392A9-5787-4B41-900F-6A950E0460D3}">
  <sheetPr>
    <pageSetUpPr fitToPage="1"/>
  </sheetPr>
  <dimension ref="A1:DX1000"/>
  <sheetViews>
    <sheetView topLeftCell="B1" workbookViewId="0">
      <selection activeCell="D25" sqref="D25"/>
    </sheetView>
  </sheetViews>
  <sheetFormatPr defaultColWidth="12.625" defaultRowHeight="15" customHeight="1" x14ac:dyDescent="0.2"/>
  <cols>
    <col min="1" max="1" width="29" hidden="1" customWidth="1"/>
    <col min="2" max="3" width="8" customWidth="1"/>
    <col min="4" max="4" width="45.625" customWidth="1"/>
    <col min="5" max="7" width="14.75" customWidth="1"/>
    <col min="8" max="9" width="14.75" hidden="1" customWidth="1"/>
    <col min="10" max="16" width="14.25" hidden="1" customWidth="1"/>
    <col min="17" max="19" width="14.25" customWidth="1"/>
    <col min="20" max="53" width="14.25" hidden="1" customWidth="1"/>
    <col min="54" max="56" width="17.75" hidden="1" customWidth="1"/>
    <col min="57" max="58" width="15.25" hidden="1" customWidth="1"/>
    <col min="59" max="83" width="13.25" hidden="1" customWidth="1"/>
    <col min="84" max="84" width="13.625" hidden="1" customWidth="1"/>
    <col min="85" max="85" width="13.25" hidden="1" customWidth="1"/>
    <col min="86" max="86" width="13.375" hidden="1" customWidth="1"/>
    <col min="87" max="93" width="13.25" hidden="1" customWidth="1"/>
    <col min="94" max="95" width="12.875" hidden="1" customWidth="1"/>
    <col min="96" max="96" width="14.25" hidden="1" customWidth="1"/>
    <col min="97" max="98" width="12.875" hidden="1" customWidth="1"/>
    <col min="99" max="100" width="15.5" hidden="1" customWidth="1"/>
    <col min="101" max="106" width="13.75" hidden="1" customWidth="1"/>
    <col min="107" max="107" width="13" hidden="1" customWidth="1"/>
    <col min="108" max="109" width="13.25" hidden="1" customWidth="1"/>
    <col min="110" max="110" width="12" hidden="1" customWidth="1"/>
    <col min="111" max="111" width="9.5" hidden="1" customWidth="1"/>
    <col min="112" max="113" width="12.875" hidden="1" customWidth="1"/>
    <col min="114" max="114" width="10.5" hidden="1" customWidth="1"/>
    <col min="115" max="119" width="11.875" hidden="1" customWidth="1"/>
    <col min="120" max="120" width="12.5" hidden="1" customWidth="1"/>
    <col min="121" max="123" width="9.75" hidden="1" customWidth="1"/>
    <col min="124" max="125" width="7.75" customWidth="1"/>
    <col min="126" max="128" width="8" customWidth="1"/>
  </cols>
  <sheetData>
    <row r="1" spans="1:128" ht="15.75" thickBot="1" x14ac:dyDescent="0.3">
      <c r="A1" s="1" t="s">
        <v>0</v>
      </c>
      <c r="B1" s="1" t="s">
        <v>1</v>
      </c>
      <c r="E1" s="2"/>
      <c r="F1" s="2">
        <v>2024</v>
      </c>
      <c r="M1" s="2"/>
      <c r="Q1" s="96"/>
      <c r="R1" s="73">
        <v>2023</v>
      </c>
      <c r="W1" s="17"/>
      <c r="AC1" s="79"/>
      <c r="AD1" s="73"/>
      <c r="AF1" s="17"/>
      <c r="AI1" s="17"/>
      <c r="AO1" s="72"/>
      <c r="AT1" s="67"/>
      <c r="AV1" s="17"/>
      <c r="AW1" s="69"/>
      <c r="BA1" s="67">
        <v>2020</v>
      </c>
      <c r="BB1" s="13">
        <v>2020</v>
      </c>
      <c r="BF1" s="3"/>
      <c r="BG1" s="1"/>
      <c r="BJ1" s="85"/>
      <c r="BL1" s="30"/>
      <c r="BM1" s="99">
        <v>2019</v>
      </c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99"/>
      <c r="BY1" s="100">
        <v>2018</v>
      </c>
      <c r="BZ1" s="100"/>
      <c r="CA1" s="100"/>
      <c r="CB1" s="100"/>
      <c r="CC1" s="100"/>
      <c r="CD1" s="100"/>
      <c r="CE1" s="100"/>
      <c r="CF1" s="100"/>
      <c r="CG1" s="100"/>
      <c r="CH1" s="100"/>
      <c r="CI1" s="100"/>
      <c r="CJ1" s="101"/>
      <c r="CK1" s="102">
        <v>2017</v>
      </c>
      <c r="CL1" s="99"/>
      <c r="CM1" s="99"/>
      <c r="CN1" s="99"/>
      <c r="CO1" s="99"/>
      <c r="CP1" s="99"/>
      <c r="CQ1" s="99"/>
      <c r="CR1" s="99"/>
      <c r="CS1" s="99"/>
      <c r="CT1" s="99"/>
      <c r="CU1" s="99"/>
      <c r="CV1" s="103"/>
      <c r="CW1" s="104"/>
      <c r="CX1" s="105"/>
      <c r="CY1" s="31"/>
      <c r="CZ1" s="31"/>
      <c r="DA1" s="31"/>
      <c r="DB1" s="31"/>
      <c r="DC1" s="31"/>
      <c r="DD1" s="86"/>
      <c r="DE1" s="87"/>
      <c r="DF1" s="87"/>
      <c r="DG1" s="87"/>
      <c r="DH1" s="104">
        <v>2015</v>
      </c>
      <c r="DI1" s="105"/>
      <c r="DJ1" s="106"/>
      <c r="DK1" s="86"/>
      <c r="DL1" s="32"/>
      <c r="DM1" s="87"/>
      <c r="DN1" s="87"/>
      <c r="DO1" s="86"/>
      <c r="DP1" s="86"/>
      <c r="DQ1" s="86"/>
      <c r="DR1" s="86"/>
      <c r="DS1" s="87"/>
    </row>
    <row r="2" spans="1:128" x14ac:dyDescent="0.25">
      <c r="E2" s="4" t="s">
        <v>10</v>
      </c>
      <c r="F2" s="4" t="s">
        <v>11</v>
      </c>
      <c r="G2" s="4" t="s">
        <v>12</v>
      </c>
      <c r="H2" s="4" t="s">
        <v>13</v>
      </c>
      <c r="I2" s="4" t="s">
        <v>2</v>
      </c>
      <c r="J2" s="4" t="s">
        <v>3</v>
      </c>
      <c r="K2" s="4" t="s">
        <v>4</v>
      </c>
      <c r="L2" s="4" t="s">
        <v>5</v>
      </c>
      <c r="M2" s="4" t="s">
        <v>6</v>
      </c>
      <c r="N2" s="4" t="s">
        <v>7</v>
      </c>
      <c r="O2" s="4" t="s">
        <v>8</v>
      </c>
      <c r="P2" s="4" t="s">
        <v>9</v>
      </c>
      <c r="Q2" s="88" t="s">
        <v>10</v>
      </c>
      <c r="R2" s="81" t="s">
        <v>11</v>
      </c>
      <c r="S2" s="81" t="s">
        <v>12</v>
      </c>
      <c r="T2" s="81" t="s">
        <v>13</v>
      </c>
      <c r="U2" s="81" t="s">
        <v>2</v>
      </c>
      <c r="V2" s="4" t="s">
        <v>3</v>
      </c>
      <c r="W2" s="81" t="s">
        <v>4</v>
      </c>
      <c r="X2" s="81" t="s">
        <v>5</v>
      </c>
      <c r="Y2" s="81" t="s">
        <v>6</v>
      </c>
      <c r="Z2" s="4" t="s">
        <v>7</v>
      </c>
      <c r="AA2" s="4" t="s">
        <v>8</v>
      </c>
      <c r="AB2" s="4" t="s">
        <v>9</v>
      </c>
      <c r="AC2" s="4" t="s">
        <v>10</v>
      </c>
      <c r="AD2" s="4" t="s">
        <v>11</v>
      </c>
      <c r="AE2" s="4" t="s">
        <v>12</v>
      </c>
      <c r="AF2" s="4" t="s">
        <v>13</v>
      </c>
      <c r="AG2" s="4" t="s">
        <v>2</v>
      </c>
      <c r="AH2" s="4" t="s">
        <v>14</v>
      </c>
      <c r="AI2" s="4" t="s">
        <v>15</v>
      </c>
      <c r="AJ2" s="4" t="s">
        <v>5</v>
      </c>
      <c r="AK2" s="4" t="s">
        <v>6</v>
      </c>
      <c r="AL2" s="4" t="s">
        <v>7</v>
      </c>
      <c r="AM2" s="4" t="s">
        <v>8</v>
      </c>
      <c r="AN2" s="4" t="s">
        <v>9</v>
      </c>
      <c r="AO2" s="4" t="s">
        <v>10</v>
      </c>
      <c r="AP2" s="4" t="s">
        <v>11</v>
      </c>
      <c r="AQ2" s="4" t="s">
        <v>12</v>
      </c>
      <c r="AR2" s="4" t="s">
        <v>13</v>
      </c>
      <c r="AS2" s="4" t="s">
        <v>2</v>
      </c>
      <c r="AT2" s="5" t="s">
        <v>14</v>
      </c>
      <c r="AU2" s="5" t="s">
        <v>15</v>
      </c>
      <c r="AV2" s="5" t="s">
        <v>5</v>
      </c>
      <c r="AW2" s="68" t="s">
        <v>16</v>
      </c>
      <c r="AX2" s="5" t="s">
        <v>17</v>
      </c>
      <c r="AY2" s="5" t="s">
        <v>18</v>
      </c>
      <c r="AZ2" s="5" t="s">
        <v>19</v>
      </c>
      <c r="BA2" s="5" t="s">
        <v>20</v>
      </c>
      <c r="BB2" s="5" t="s">
        <v>21</v>
      </c>
      <c r="BC2" s="5" t="s">
        <v>22</v>
      </c>
      <c r="BD2" s="4" t="s">
        <v>23</v>
      </c>
      <c r="BE2" s="4" t="s">
        <v>24</v>
      </c>
      <c r="BF2" s="5" t="s">
        <v>14</v>
      </c>
      <c r="BG2" s="5" t="s">
        <v>15</v>
      </c>
      <c r="BH2" s="5" t="s">
        <v>5</v>
      </c>
      <c r="BI2" s="34" t="s">
        <v>16</v>
      </c>
      <c r="BJ2" s="5" t="s">
        <v>17</v>
      </c>
      <c r="BK2" s="5" t="s">
        <v>18</v>
      </c>
      <c r="BL2" s="5" t="s">
        <v>19</v>
      </c>
      <c r="BM2" s="5" t="s">
        <v>20</v>
      </c>
      <c r="BN2" s="5" t="s">
        <v>21</v>
      </c>
      <c r="BO2" s="5" t="s">
        <v>22</v>
      </c>
      <c r="BP2" s="5" t="s">
        <v>23</v>
      </c>
      <c r="BQ2" s="5" t="s">
        <v>24</v>
      </c>
      <c r="BR2" s="5" t="s">
        <v>14</v>
      </c>
      <c r="BS2" s="5" t="s">
        <v>15</v>
      </c>
      <c r="BT2" s="5" t="s">
        <v>5</v>
      </c>
      <c r="BU2" s="5" t="s">
        <v>16</v>
      </c>
      <c r="BV2" s="5" t="s">
        <v>17</v>
      </c>
      <c r="BW2" s="5" t="s">
        <v>18</v>
      </c>
      <c r="BX2" s="5" t="s">
        <v>19</v>
      </c>
      <c r="BY2" s="5" t="s">
        <v>20</v>
      </c>
      <c r="BZ2" s="5" t="s">
        <v>21</v>
      </c>
      <c r="CA2" s="5" t="s">
        <v>22</v>
      </c>
      <c r="CB2" s="5" t="s">
        <v>23</v>
      </c>
      <c r="CC2" s="5" t="s">
        <v>24</v>
      </c>
      <c r="CD2" s="5" t="s">
        <v>14</v>
      </c>
      <c r="CE2" s="5" t="s">
        <v>15</v>
      </c>
      <c r="CF2" s="5" t="s">
        <v>5</v>
      </c>
      <c r="CG2" s="5" t="s">
        <v>16</v>
      </c>
      <c r="CH2" s="5" t="s">
        <v>17</v>
      </c>
      <c r="CI2" s="5" t="s">
        <v>18</v>
      </c>
      <c r="CJ2" s="5" t="s">
        <v>19</v>
      </c>
      <c r="CK2" s="35" t="s">
        <v>20</v>
      </c>
      <c r="CL2" s="35" t="s">
        <v>21</v>
      </c>
      <c r="CM2" s="35" t="s">
        <v>22</v>
      </c>
      <c r="CN2" s="35" t="s">
        <v>23</v>
      </c>
      <c r="CO2" s="35" t="s">
        <v>24</v>
      </c>
      <c r="CP2" s="35" t="s">
        <v>14</v>
      </c>
      <c r="CQ2" s="35" t="s">
        <v>15</v>
      </c>
      <c r="CR2" s="35" t="s">
        <v>5</v>
      </c>
      <c r="CS2" s="35" t="s">
        <v>16</v>
      </c>
      <c r="CT2" s="35" t="s">
        <v>17</v>
      </c>
      <c r="CU2" s="35" t="s">
        <v>18</v>
      </c>
      <c r="CV2" s="35" t="s">
        <v>19</v>
      </c>
      <c r="CW2" s="35" t="s">
        <v>21</v>
      </c>
      <c r="CX2" s="35" t="s">
        <v>22</v>
      </c>
      <c r="CY2" s="35" t="s">
        <v>23</v>
      </c>
      <c r="CZ2" s="35" t="s">
        <v>24</v>
      </c>
      <c r="DA2" s="35" t="s">
        <v>14</v>
      </c>
      <c r="DB2" s="35" t="s">
        <v>15</v>
      </c>
      <c r="DC2" s="35" t="s">
        <v>5</v>
      </c>
      <c r="DD2" s="35" t="s">
        <v>16</v>
      </c>
      <c r="DE2" s="35" t="s">
        <v>17</v>
      </c>
      <c r="DF2" s="35" t="s">
        <v>18</v>
      </c>
      <c r="DG2" s="35" t="s">
        <v>19</v>
      </c>
      <c r="DH2" s="35" t="s">
        <v>20</v>
      </c>
      <c r="DI2" s="35" t="s">
        <v>21</v>
      </c>
      <c r="DJ2" s="35" t="s">
        <v>22</v>
      </c>
      <c r="DK2" s="35" t="s">
        <v>23</v>
      </c>
      <c r="DL2" s="35" t="s">
        <v>24</v>
      </c>
      <c r="DM2" s="35" t="s">
        <v>14</v>
      </c>
      <c r="DN2" s="35" t="s">
        <v>15</v>
      </c>
      <c r="DO2" s="35" t="s">
        <v>5</v>
      </c>
      <c r="DP2" s="35" t="s">
        <v>16</v>
      </c>
      <c r="DQ2" s="35" t="s">
        <v>17</v>
      </c>
      <c r="DR2" s="35" t="s">
        <v>18</v>
      </c>
      <c r="DS2" s="35" t="s">
        <v>19</v>
      </c>
    </row>
    <row r="3" spans="1:128" x14ac:dyDescent="0.25">
      <c r="A3" s="75" t="s">
        <v>25</v>
      </c>
      <c r="D3" s="1" t="s">
        <v>26</v>
      </c>
      <c r="E3" s="1">
        <f>268+17</f>
        <v>285</v>
      </c>
      <c r="F3" s="1">
        <f>269+17</f>
        <v>286</v>
      </c>
      <c r="G3" s="1">
        <f>274+17</f>
        <v>291</v>
      </c>
      <c r="H3" s="1">
        <f>276+17</f>
        <v>293</v>
      </c>
      <c r="I3" s="1">
        <f>275+17</f>
        <v>292</v>
      </c>
      <c r="J3" s="1">
        <f>277+17</f>
        <v>294</v>
      </c>
      <c r="K3" s="1">
        <f>283+17</f>
        <v>300</v>
      </c>
      <c r="L3" s="1">
        <f>280+16</f>
        <v>296</v>
      </c>
      <c r="M3" s="1">
        <f>284+16</f>
        <v>300</v>
      </c>
      <c r="N3" s="1">
        <f>289+16</f>
        <v>305</v>
      </c>
      <c r="O3" s="1">
        <f>292+16</f>
        <v>308</v>
      </c>
      <c r="P3" s="1">
        <f>294+16</f>
        <v>310</v>
      </c>
      <c r="Q3" s="89">
        <f>302+16</f>
        <v>318</v>
      </c>
      <c r="R3" s="15">
        <f>302+17</f>
        <v>319</v>
      </c>
      <c r="S3" s="15">
        <f>303+17</f>
        <v>320</v>
      </c>
      <c r="T3" s="15">
        <f>307+17</f>
        <v>324</v>
      </c>
      <c r="U3" s="15">
        <f>309+17</f>
        <v>326</v>
      </c>
      <c r="V3" s="15">
        <f>307+17</f>
        <v>324</v>
      </c>
      <c r="W3" s="15">
        <f>310+17</f>
        <v>327</v>
      </c>
      <c r="X3" s="15">
        <f>317+17</f>
        <v>334</v>
      </c>
      <c r="Y3" s="15">
        <f>324+17</f>
        <v>341</v>
      </c>
      <c r="Z3" s="15">
        <f>324+17</f>
        <v>341</v>
      </c>
      <c r="AA3" s="15">
        <f>324+17</f>
        <v>341</v>
      </c>
      <c r="AB3" s="15">
        <f>325+17</f>
        <v>342</v>
      </c>
      <c r="AC3" s="15">
        <f>325+17</f>
        <v>342</v>
      </c>
      <c r="AD3" s="15">
        <f>329+17</f>
        <v>346</v>
      </c>
      <c r="AE3" s="15">
        <f>324+17</f>
        <v>341</v>
      </c>
      <c r="AF3" s="15">
        <f>326+17</f>
        <v>343</v>
      </c>
      <c r="AG3" s="15">
        <f>325+17</f>
        <v>342</v>
      </c>
      <c r="AH3" s="15">
        <f>322+17</f>
        <v>339</v>
      </c>
      <c r="AI3" s="15">
        <f>324+17</f>
        <v>341</v>
      </c>
      <c r="AJ3" s="15">
        <f>326+17</f>
        <v>343</v>
      </c>
      <c r="AK3" s="15">
        <f>325+17</f>
        <v>342</v>
      </c>
      <c r="AL3" s="15">
        <f>326+17</f>
        <v>343</v>
      </c>
      <c r="AM3" s="15">
        <f>335+17</f>
        <v>352</v>
      </c>
      <c r="AN3" s="15">
        <f>329+17</f>
        <v>346</v>
      </c>
      <c r="AO3" s="15">
        <f>336+17</f>
        <v>353</v>
      </c>
      <c r="AP3" s="15">
        <f>333+17</f>
        <v>350</v>
      </c>
      <c r="AQ3" s="15">
        <f>338+17</f>
        <v>355</v>
      </c>
      <c r="AR3" s="15">
        <f>337+17</f>
        <v>354</v>
      </c>
      <c r="AS3" s="15">
        <f>327+17</f>
        <v>344</v>
      </c>
      <c r="AT3" s="15">
        <f>330+17</f>
        <v>347</v>
      </c>
      <c r="AU3" s="15">
        <f>332+17</f>
        <v>349</v>
      </c>
      <c r="AV3" s="15">
        <f>330+17</f>
        <v>347</v>
      </c>
      <c r="AW3" s="15">
        <f>335+17</f>
        <v>352</v>
      </c>
      <c r="AX3" s="15">
        <f>330+17</f>
        <v>347</v>
      </c>
      <c r="AY3" s="15">
        <f>322+17</f>
        <v>339</v>
      </c>
      <c r="AZ3" s="15">
        <f>317+17</f>
        <v>334</v>
      </c>
      <c r="BA3" s="15">
        <f>329+17</f>
        <v>346</v>
      </c>
      <c r="BB3" s="15">
        <f>320+17</f>
        <v>337</v>
      </c>
      <c r="BC3" s="15">
        <f>323+17</f>
        <v>340</v>
      </c>
      <c r="BD3" s="15">
        <f>319+17</f>
        <v>336</v>
      </c>
      <c r="BE3" s="1">
        <f>325+17</f>
        <v>342</v>
      </c>
      <c r="BF3" s="1">
        <v>334</v>
      </c>
      <c r="BG3" s="1">
        <v>323</v>
      </c>
      <c r="BH3" s="1">
        <v>328</v>
      </c>
      <c r="BI3" s="37">
        <v>326</v>
      </c>
      <c r="BJ3" s="1">
        <v>328</v>
      </c>
      <c r="BK3" s="1">
        <v>332</v>
      </c>
      <c r="BL3" s="1">
        <v>349</v>
      </c>
      <c r="BM3" s="1">
        <v>360</v>
      </c>
      <c r="BN3" s="1">
        <v>360</v>
      </c>
      <c r="BO3" s="1">
        <v>363</v>
      </c>
      <c r="BP3" s="1">
        <v>371</v>
      </c>
      <c r="BQ3" s="1">
        <v>378</v>
      </c>
      <c r="BR3" s="1">
        <v>374</v>
      </c>
      <c r="BS3" s="1">
        <v>375</v>
      </c>
      <c r="BT3" s="1">
        <v>376</v>
      </c>
      <c r="BU3" s="1">
        <v>383</v>
      </c>
      <c r="BV3" s="1">
        <v>387</v>
      </c>
      <c r="BW3" s="1">
        <v>386</v>
      </c>
      <c r="BX3" s="1">
        <v>392</v>
      </c>
      <c r="BY3" s="1">
        <v>405</v>
      </c>
      <c r="BZ3" s="1">
        <v>407</v>
      </c>
      <c r="CA3" s="1">
        <v>399</v>
      </c>
      <c r="CB3" s="1">
        <v>396</v>
      </c>
      <c r="CC3" s="1">
        <v>396</v>
      </c>
      <c r="CD3" s="1">
        <v>397</v>
      </c>
      <c r="CE3" s="1">
        <v>400</v>
      </c>
      <c r="CF3" s="1">
        <v>395</v>
      </c>
      <c r="CG3" s="1">
        <v>387</v>
      </c>
      <c r="CH3" s="1">
        <v>385</v>
      </c>
      <c r="CI3" s="1">
        <v>392</v>
      </c>
      <c r="CJ3" s="1">
        <v>397</v>
      </c>
      <c r="CK3" s="1">
        <v>418</v>
      </c>
      <c r="CL3" s="1">
        <v>417</v>
      </c>
      <c r="CM3" s="1">
        <v>421</v>
      </c>
      <c r="CN3" s="1">
        <f>412+14</f>
        <v>426</v>
      </c>
      <c r="CO3" s="1">
        <v>417</v>
      </c>
      <c r="CP3" s="1">
        <v>424</v>
      </c>
      <c r="CQ3" s="1">
        <v>424</v>
      </c>
      <c r="CR3" s="1">
        <v>420</v>
      </c>
      <c r="CS3" s="1">
        <v>420</v>
      </c>
      <c r="CT3" s="1">
        <v>423</v>
      </c>
      <c r="CU3" s="1">
        <f>404+13</f>
        <v>417</v>
      </c>
      <c r="CV3" s="1">
        <v>421</v>
      </c>
      <c r="CW3" s="1">
        <v>451</v>
      </c>
      <c r="CX3" s="1">
        <f>433+13</f>
        <v>446</v>
      </c>
      <c r="CY3" s="1">
        <f>428+13</f>
        <v>441</v>
      </c>
      <c r="CZ3" s="1">
        <v>439</v>
      </c>
      <c r="DA3" s="1">
        <v>431</v>
      </c>
      <c r="DB3" s="1">
        <v>440</v>
      </c>
      <c r="DC3" s="1">
        <v>445</v>
      </c>
      <c r="DD3" s="1">
        <v>441</v>
      </c>
      <c r="DE3" s="1">
        <v>444</v>
      </c>
      <c r="DF3" s="1">
        <v>441</v>
      </c>
      <c r="DG3" s="1">
        <v>449</v>
      </c>
      <c r="DH3" s="1">
        <v>440</v>
      </c>
      <c r="DI3" s="1">
        <v>438</v>
      </c>
      <c r="DJ3" s="1">
        <v>437</v>
      </c>
      <c r="DK3" s="1">
        <v>435</v>
      </c>
      <c r="DL3" s="1">
        <v>433</v>
      </c>
      <c r="DM3" s="1">
        <v>432</v>
      </c>
      <c r="DN3" s="1">
        <v>430</v>
      </c>
      <c r="DO3" s="1">
        <v>428</v>
      </c>
      <c r="DP3" s="1">
        <v>430</v>
      </c>
      <c r="DQ3" s="1">
        <v>426</v>
      </c>
      <c r="DR3" s="1">
        <v>428</v>
      </c>
      <c r="DS3" s="1">
        <v>439</v>
      </c>
    </row>
    <row r="4" spans="1:128" x14ac:dyDescent="0.25">
      <c r="A4" s="75" t="s">
        <v>27</v>
      </c>
      <c r="D4" s="1" t="s">
        <v>28</v>
      </c>
      <c r="E4" s="23">
        <f t="shared" ref="E4:N4" si="0">AVERAGE(E3:G3)</f>
        <v>287.33333333333331</v>
      </c>
      <c r="F4" s="23">
        <f t="shared" si="0"/>
        <v>290</v>
      </c>
      <c r="G4" s="23">
        <f t="shared" si="0"/>
        <v>292</v>
      </c>
      <c r="H4" s="23">
        <f t="shared" si="0"/>
        <v>293</v>
      </c>
      <c r="I4" s="23">
        <f t="shared" si="0"/>
        <v>295.33333333333331</v>
      </c>
      <c r="J4" s="23">
        <f t="shared" si="0"/>
        <v>296.66666666666669</v>
      </c>
      <c r="K4" s="23">
        <f t="shared" si="0"/>
        <v>298.66666666666669</v>
      </c>
      <c r="L4" s="23">
        <f t="shared" si="0"/>
        <v>300.33333333333331</v>
      </c>
      <c r="M4" s="23">
        <f t="shared" si="0"/>
        <v>304.33333333333331</v>
      </c>
      <c r="N4" s="23">
        <f t="shared" si="0"/>
        <v>307.66666666666669</v>
      </c>
      <c r="O4" s="23">
        <f>AVERAGE(O3:P3)</f>
        <v>309</v>
      </c>
      <c r="P4" s="23">
        <f>AVERAGE(P3:P3)</f>
        <v>310</v>
      </c>
      <c r="Q4" s="90">
        <f t="shared" ref="Q4:Z4" si="1">AVERAGE(Q3:S3)</f>
        <v>319</v>
      </c>
      <c r="R4" s="39">
        <f t="shared" si="1"/>
        <v>321</v>
      </c>
      <c r="S4" s="39">
        <f t="shared" si="1"/>
        <v>323.33333333333331</v>
      </c>
      <c r="T4" s="39">
        <f t="shared" si="1"/>
        <v>324.66666666666669</v>
      </c>
      <c r="U4" s="39">
        <f t="shared" si="1"/>
        <v>325.66666666666669</v>
      </c>
      <c r="V4" s="39">
        <f t="shared" si="1"/>
        <v>328.33333333333331</v>
      </c>
      <c r="W4" s="39">
        <f t="shared" si="1"/>
        <v>334</v>
      </c>
      <c r="X4" s="39">
        <f t="shared" si="1"/>
        <v>338.66666666666669</v>
      </c>
      <c r="Y4" s="39">
        <f t="shared" si="1"/>
        <v>341</v>
      </c>
      <c r="Z4" s="39">
        <f t="shared" si="1"/>
        <v>341.33333333333331</v>
      </c>
      <c r="AA4" s="39">
        <f>AVERAGE(AA3:AB3)</f>
        <v>341.5</v>
      </c>
      <c r="AB4" s="39">
        <f>AVERAGE(AB3:AB3)</f>
        <v>342</v>
      </c>
      <c r="AC4" s="39">
        <f t="shared" ref="AC4:AQ4" si="2">AVERAGE(AC3:AF3)</f>
        <v>343</v>
      </c>
      <c r="AD4" s="39">
        <f t="shared" si="2"/>
        <v>343</v>
      </c>
      <c r="AE4" s="39">
        <f t="shared" si="2"/>
        <v>341.25</v>
      </c>
      <c r="AF4" s="39">
        <f t="shared" si="2"/>
        <v>341.25</v>
      </c>
      <c r="AG4" s="39">
        <f t="shared" si="2"/>
        <v>341.25</v>
      </c>
      <c r="AH4" s="39">
        <f t="shared" si="2"/>
        <v>341.25</v>
      </c>
      <c r="AI4" s="39">
        <f t="shared" si="2"/>
        <v>342.25</v>
      </c>
      <c r="AJ4" s="39">
        <f t="shared" si="2"/>
        <v>345</v>
      </c>
      <c r="AK4" s="39">
        <f t="shared" si="2"/>
        <v>345.75</v>
      </c>
      <c r="AL4" s="39">
        <f t="shared" si="2"/>
        <v>348.5</v>
      </c>
      <c r="AM4" s="39">
        <f t="shared" si="2"/>
        <v>350.25</v>
      </c>
      <c r="AN4" s="39">
        <f t="shared" si="2"/>
        <v>351</v>
      </c>
      <c r="AO4" s="39">
        <f t="shared" si="2"/>
        <v>353</v>
      </c>
      <c r="AP4" s="39">
        <f t="shared" si="2"/>
        <v>350.75</v>
      </c>
      <c r="AQ4" s="39">
        <f t="shared" si="2"/>
        <v>350</v>
      </c>
      <c r="AR4" s="39">
        <f t="shared" ref="AR4:AW4" si="3">AVERAGE(AR3:AU3)</f>
        <v>348.5</v>
      </c>
      <c r="AS4" s="39">
        <f t="shared" si="3"/>
        <v>346.75</v>
      </c>
      <c r="AT4" s="39">
        <f t="shared" si="3"/>
        <v>348.75</v>
      </c>
      <c r="AU4" s="39">
        <f t="shared" si="3"/>
        <v>348.75</v>
      </c>
      <c r="AV4" s="39">
        <f t="shared" si="3"/>
        <v>346.25</v>
      </c>
      <c r="AW4" s="39">
        <f t="shared" si="3"/>
        <v>343</v>
      </c>
      <c r="AX4" s="39">
        <f>AVERAGE(AX3:AZ3)</f>
        <v>340</v>
      </c>
      <c r="AY4" s="39">
        <f>AVERAGE(AY3:AZ3)</f>
        <v>336.5</v>
      </c>
      <c r="AZ4" s="39">
        <f>AVERAGE(AZ3)</f>
        <v>334</v>
      </c>
      <c r="BA4" s="39">
        <f t="shared" ref="BA4:BF4" si="4">AVERAGE(BA3:BG3)</f>
        <v>336.85714285714283</v>
      </c>
      <c r="BB4" s="39">
        <f t="shared" si="4"/>
        <v>334.28571428571428</v>
      </c>
      <c r="BC4" s="39">
        <f t="shared" si="4"/>
        <v>332.71428571428572</v>
      </c>
      <c r="BD4" s="39">
        <f t="shared" si="4"/>
        <v>331</v>
      </c>
      <c r="BE4" s="39">
        <f t="shared" si="4"/>
        <v>330.42857142857144</v>
      </c>
      <c r="BF4" s="23">
        <f t="shared" si="4"/>
        <v>331.42857142857144</v>
      </c>
      <c r="BG4" s="23">
        <f>AVERAGE(BG3:BL3)</f>
        <v>331</v>
      </c>
      <c r="BH4" s="23">
        <f>AVERAGE(BH3:BL3)</f>
        <v>332.6</v>
      </c>
      <c r="BI4" s="41">
        <f>AVERAGE(BI3:BL3)</f>
        <v>333.75</v>
      </c>
      <c r="BJ4" s="23">
        <f>AVERAGE(BJ3:BL3)</f>
        <v>336.33333333333331</v>
      </c>
      <c r="BK4" s="23">
        <f>AVERAGE(BK3:BL3)</f>
        <v>340.5</v>
      </c>
      <c r="BL4" s="23">
        <f>AVERAGE(BL3)</f>
        <v>349</v>
      </c>
      <c r="BM4" s="23">
        <f>AVERAGE(BM3:BX3)</f>
        <v>375.41666666666669</v>
      </c>
      <c r="BN4" s="23">
        <f>AVERAGE(BN3:BX3)</f>
        <v>376.81818181818181</v>
      </c>
      <c r="BO4" s="23">
        <f>AVERAGE(BO3:BX3)</f>
        <v>378.5</v>
      </c>
      <c r="BP4" s="23">
        <f>AVERAGE(BP3:BX3)</f>
        <v>380.22222222222223</v>
      </c>
      <c r="BQ4" s="23">
        <f>AVERAGE(BQ3:BX3)</f>
        <v>381.375</v>
      </c>
      <c r="BR4" s="23">
        <f>AVERAGE(BR3:BX3)</f>
        <v>381.85714285714283</v>
      </c>
      <c r="BS4" s="23">
        <f>AVERAGE(BS3:BX3)</f>
        <v>383.16666666666669</v>
      </c>
      <c r="BT4" s="23">
        <f>AVERAGE(BT3:BX3)</f>
        <v>384.8</v>
      </c>
      <c r="BU4" s="23">
        <f>AVERAGE(BU3:BX3)</f>
        <v>387</v>
      </c>
      <c r="BV4" s="23">
        <f>AVERAGE(BV3:BX3)</f>
        <v>388.33333333333331</v>
      </c>
      <c r="BW4" s="23">
        <f>AVERAGE(BW3:BX3)</f>
        <v>389</v>
      </c>
      <c r="BX4" s="23">
        <f>AVERAGE(BX3)</f>
        <v>392</v>
      </c>
      <c r="BY4" s="23">
        <f>AVERAGE(BY3:CJ3)</f>
        <v>396.33333333333331</v>
      </c>
      <c r="BZ4" s="23">
        <f>AVERAGE(BZ3:CJ3)</f>
        <v>395.54545454545456</v>
      </c>
      <c r="CA4" s="23">
        <f>AVERAGE(CA3:CJ3)</f>
        <v>394.4</v>
      </c>
      <c r="CB4" s="23">
        <f>AVERAGE(CB3:CJ3)</f>
        <v>393.88888888888891</v>
      </c>
      <c r="CC4" s="23">
        <f>AVERAGE(CC3:CJ3)</f>
        <v>393.625</v>
      </c>
      <c r="CD4" s="23">
        <f>AVERAGE(CD3:CJ3)</f>
        <v>393.28571428571428</v>
      </c>
      <c r="CE4" s="23">
        <f>AVERAGE(CE3:CJ3)</f>
        <v>392.66666666666669</v>
      </c>
      <c r="CF4" s="23">
        <f>AVERAGE(CF3:CJ3)</f>
        <v>391.2</v>
      </c>
      <c r="CG4" s="23">
        <f>AVERAGE(CG3:CJ3)</f>
        <v>390.25</v>
      </c>
      <c r="CH4" s="23">
        <f>AVERAGE(CH3:CJ3)</f>
        <v>391.33333333333331</v>
      </c>
      <c r="CI4" s="23">
        <f>AVERAGE(CI3:CJ3)</f>
        <v>394.5</v>
      </c>
      <c r="CJ4" s="23">
        <f>AVERAGE(CJ3)</f>
        <v>397</v>
      </c>
      <c r="CK4" s="23">
        <f>AVERAGE(CK3:CV3)</f>
        <v>420.66666666666669</v>
      </c>
      <c r="CL4" s="23">
        <f>AVERAGE(CL3:CV3)</f>
        <v>420.90909090909093</v>
      </c>
      <c r="CM4" s="23">
        <f>AVERAGE(CM3:CV3)</f>
        <v>421.3</v>
      </c>
      <c r="CN4" s="23">
        <f>AVERAGE(CN3:CV3)</f>
        <v>421.33333333333331</v>
      </c>
      <c r="CO4" s="23">
        <f>AVERAGE(CO3:CV3)</f>
        <v>420.75</v>
      </c>
      <c r="CP4" s="23">
        <f>AVERAGE(CP3:CV3)</f>
        <v>421.28571428571428</v>
      </c>
      <c r="CQ4" s="23">
        <f>AVERAGE(CQ3:CV3)</f>
        <v>420.83333333333331</v>
      </c>
      <c r="CR4" s="23">
        <f>AVERAGE(CR3:CV3)</f>
        <v>420.2</v>
      </c>
      <c r="CS4" s="23">
        <f>AVERAGE(CS3:CV3)</f>
        <v>420.25</v>
      </c>
      <c r="CT4" s="23">
        <f>AVERAGE(CT3:CV3)</f>
        <v>420.33333333333331</v>
      </c>
      <c r="CU4" s="23">
        <f>AVERAGE(CU3:CV3)</f>
        <v>419</v>
      </c>
      <c r="CV4" s="23">
        <f>AVERAGE(CV3)</f>
        <v>421</v>
      </c>
      <c r="CW4" s="23">
        <f>AVERAGE(CW3:DG3)</f>
        <v>442.54545454545456</v>
      </c>
      <c r="CX4" s="23">
        <f>AVERAGE(CX3:DG3)</f>
        <v>441.7</v>
      </c>
      <c r="CY4" s="23">
        <f>AVERAGE(CY3:DG3)</f>
        <v>441.22222222222223</v>
      </c>
      <c r="CZ4" s="23">
        <f>AVERAGE(CZ3:DG3)</f>
        <v>441.25</v>
      </c>
      <c r="DA4" s="23">
        <f>AVERAGE(DA3:DG3)</f>
        <v>441.57142857142856</v>
      </c>
      <c r="DB4" s="23">
        <f>AVERAGE(DB3:DG3)</f>
        <v>443.33333333333331</v>
      </c>
      <c r="DC4" s="23">
        <f>AVERAGE(DC3:DG3)</f>
        <v>444</v>
      </c>
      <c r="DD4" s="23">
        <f>AVERAGE(DD3:DG3)</f>
        <v>443.75</v>
      </c>
      <c r="DE4" s="23">
        <f>AVERAGE(DE3:DG3)</f>
        <v>444.66666666666669</v>
      </c>
      <c r="DF4" s="23">
        <f>AVERAGE(DF3:DG3)</f>
        <v>445</v>
      </c>
      <c r="DG4" s="23">
        <f>+DG3</f>
        <v>449</v>
      </c>
      <c r="DH4" s="23">
        <f>AVERAGE(DI3:DS3)</f>
        <v>432.36363636363637</v>
      </c>
      <c r="DI4" s="23">
        <f>AVERAGE(DI3:DS3)</f>
        <v>432.36363636363637</v>
      </c>
      <c r="DJ4" s="23">
        <f>AVERAGE(DJ3:DS3)</f>
        <v>431.8</v>
      </c>
      <c r="DK4" s="23">
        <f>AVERAGE(DK3:DS3)</f>
        <v>431.22222222222223</v>
      </c>
      <c r="DL4" s="23">
        <f>AVERAGE(DL3:DS3)</f>
        <v>430.75</v>
      </c>
      <c r="DM4" s="23">
        <f>AVERAGE(DM3:DS3)</f>
        <v>430.42857142857144</v>
      </c>
      <c r="DN4" s="23">
        <f>AVERAGE(DN3:DS3)</f>
        <v>430.16666666666669</v>
      </c>
      <c r="DO4" s="23">
        <f>AVERAGE(DO3:DS3)</f>
        <v>430.2</v>
      </c>
      <c r="DP4" s="23">
        <f>AVERAGE(DP3:DS3)</f>
        <v>430.75</v>
      </c>
      <c r="DQ4" s="23">
        <f t="shared" ref="DQ4:DR4" si="5">AVERAGE(DQ3:DR3)</f>
        <v>427</v>
      </c>
      <c r="DR4" s="23">
        <f t="shared" si="5"/>
        <v>433.5</v>
      </c>
      <c r="DS4" s="1">
        <f>+DS3</f>
        <v>439</v>
      </c>
      <c r="DU4" s="17"/>
    </row>
    <row r="5" spans="1:128" x14ac:dyDescent="0.25">
      <c r="A5" s="1" t="s">
        <v>29</v>
      </c>
      <c r="D5" s="1" t="s">
        <v>30</v>
      </c>
      <c r="E5" s="1">
        <f t="shared" ref="E5:P5" si="6">347+16</f>
        <v>363</v>
      </c>
      <c r="F5" s="1">
        <f t="shared" si="6"/>
        <v>363</v>
      </c>
      <c r="G5" s="1">
        <f t="shared" si="6"/>
        <v>363</v>
      </c>
      <c r="H5" s="1">
        <f t="shared" si="6"/>
        <v>363</v>
      </c>
      <c r="I5" s="1">
        <f t="shared" si="6"/>
        <v>363</v>
      </c>
      <c r="J5" s="1">
        <f t="shared" si="6"/>
        <v>363</v>
      </c>
      <c r="K5" s="1">
        <f t="shared" si="6"/>
        <v>363</v>
      </c>
      <c r="L5" s="1">
        <f t="shared" si="6"/>
        <v>363</v>
      </c>
      <c r="M5" s="1">
        <f t="shared" si="6"/>
        <v>363</v>
      </c>
      <c r="N5" s="1">
        <f t="shared" si="6"/>
        <v>363</v>
      </c>
      <c r="O5" s="1">
        <f t="shared" si="6"/>
        <v>363</v>
      </c>
      <c r="P5" s="1">
        <f t="shared" si="6"/>
        <v>363</v>
      </c>
      <c r="Q5" s="89">
        <v>407</v>
      </c>
      <c r="R5" s="15">
        <v>407</v>
      </c>
      <c r="S5" s="15">
        <v>407</v>
      </c>
      <c r="T5" s="15">
        <v>407</v>
      </c>
      <c r="U5" s="15">
        <v>407</v>
      </c>
      <c r="V5" s="15">
        <v>407</v>
      </c>
      <c r="W5" s="15">
        <v>407</v>
      </c>
      <c r="X5" s="15">
        <v>407</v>
      </c>
      <c r="Y5" s="15">
        <v>407</v>
      </c>
      <c r="Z5" s="15">
        <v>407</v>
      </c>
      <c r="AA5" s="15">
        <v>407</v>
      </c>
      <c r="AB5" s="15">
        <v>407</v>
      </c>
      <c r="AC5" s="15">
        <v>382</v>
      </c>
      <c r="AD5" s="15">
        <v>382</v>
      </c>
      <c r="AE5" s="15">
        <v>382</v>
      </c>
      <c r="AF5" s="15">
        <v>382</v>
      </c>
      <c r="AG5" s="15">
        <v>382</v>
      </c>
      <c r="AH5" s="15">
        <v>382</v>
      </c>
      <c r="AI5" s="15">
        <v>382</v>
      </c>
      <c r="AJ5" s="15">
        <v>382</v>
      </c>
      <c r="AK5" s="15">
        <v>382</v>
      </c>
      <c r="AL5" s="15">
        <v>382</v>
      </c>
      <c r="AM5" s="15">
        <v>382</v>
      </c>
      <c r="AN5" s="15">
        <v>382</v>
      </c>
      <c r="AO5" s="15">
        <v>382</v>
      </c>
      <c r="AP5" s="15">
        <v>382</v>
      </c>
      <c r="AQ5" s="15">
        <v>382</v>
      </c>
      <c r="AR5" s="15">
        <v>382</v>
      </c>
      <c r="AS5" s="15">
        <v>382</v>
      </c>
      <c r="AT5" s="17">
        <v>382</v>
      </c>
      <c r="AU5" s="15">
        <v>382</v>
      </c>
      <c r="AV5" s="15">
        <v>382</v>
      </c>
      <c r="AW5" s="15">
        <v>382</v>
      </c>
      <c r="AX5" s="15">
        <v>382</v>
      </c>
      <c r="AY5" s="15">
        <v>382</v>
      </c>
      <c r="AZ5" s="15">
        <v>382</v>
      </c>
      <c r="BA5" s="15">
        <v>363</v>
      </c>
      <c r="BB5" s="15">
        <v>363</v>
      </c>
      <c r="BC5" s="15">
        <v>363</v>
      </c>
      <c r="BD5" s="14">
        <v>363</v>
      </c>
      <c r="BE5" s="16">
        <v>363</v>
      </c>
      <c r="BF5" s="1">
        <v>363</v>
      </c>
      <c r="BG5" s="1">
        <v>363</v>
      </c>
      <c r="BH5" s="1">
        <v>363</v>
      </c>
      <c r="BI5" s="37">
        <v>363</v>
      </c>
      <c r="BJ5" s="1">
        <v>363</v>
      </c>
      <c r="BK5" s="1">
        <v>363</v>
      </c>
      <c r="BL5" s="1">
        <v>363</v>
      </c>
      <c r="BM5" s="1">
        <v>415</v>
      </c>
      <c r="BN5" s="1">
        <v>415</v>
      </c>
      <c r="BO5" s="1">
        <v>415</v>
      </c>
      <c r="BP5" s="1">
        <v>415</v>
      </c>
      <c r="BQ5" s="1">
        <v>415</v>
      </c>
      <c r="BR5" s="1">
        <v>415</v>
      </c>
      <c r="BS5" s="1">
        <v>415</v>
      </c>
      <c r="BT5" s="1">
        <v>415</v>
      </c>
      <c r="BU5" s="1">
        <v>415</v>
      </c>
      <c r="BV5" s="1">
        <v>415</v>
      </c>
      <c r="BW5" s="1">
        <v>415</v>
      </c>
      <c r="BX5" s="1">
        <v>415</v>
      </c>
      <c r="BY5" s="1">
        <v>415</v>
      </c>
      <c r="BZ5" s="1">
        <v>415</v>
      </c>
      <c r="CA5" s="1">
        <v>415</v>
      </c>
      <c r="CB5" s="1">
        <v>415</v>
      </c>
      <c r="CC5" s="1">
        <v>415</v>
      </c>
      <c r="CD5" s="1">
        <v>415</v>
      </c>
      <c r="CE5" s="1">
        <v>415</v>
      </c>
      <c r="CF5" s="1">
        <v>415</v>
      </c>
      <c r="CG5" s="1">
        <v>415</v>
      </c>
      <c r="CH5" s="1">
        <v>415</v>
      </c>
      <c r="CI5" s="1">
        <v>415</v>
      </c>
      <c r="CJ5" s="1">
        <v>415</v>
      </c>
      <c r="CK5" s="1">
        <v>445</v>
      </c>
      <c r="CL5" s="1">
        <v>445</v>
      </c>
      <c r="CM5" s="1">
        <v>445</v>
      </c>
      <c r="CN5" s="1">
        <v>445</v>
      </c>
      <c r="CO5" s="1">
        <v>445</v>
      </c>
      <c r="CP5" s="1">
        <v>445</v>
      </c>
      <c r="CQ5" s="1">
        <v>445</v>
      </c>
      <c r="CR5" s="1">
        <v>445</v>
      </c>
      <c r="CS5" s="1">
        <v>445</v>
      </c>
      <c r="CT5" s="1">
        <v>445</v>
      </c>
      <c r="CU5" s="1">
        <v>445</v>
      </c>
      <c r="CV5" s="1">
        <v>445</v>
      </c>
      <c r="CW5" s="1">
        <v>461</v>
      </c>
      <c r="CX5" s="1">
        <v>461</v>
      </c>
      <c r="CY5" s="1">
        <v>461</v>
      </c>
      <c r="CZ5" s="1">
        <v>461</v>
      </c>
      <c r="DA5" s="1">
        <v>461</v>
      </c>
      <c r="DB5" s="1">
        <v>461</v>
      </c>
      <c r="DC5" s="1">
        <v>461</v>
      </c>
      <c r="DD5" s="1">
        <v>461</v>
      </c>
      <c r="DE5" s="1">
        <v>461</v>
      </c>
      <c r="DF5" s="1">
        <v>461</v>
      </c>
      <c r="DG5" s="1">
        <v>461</v>
      </c>
      <c r="DH5" s="1">
        <v>460</v>
      </c>
      <c r="DI5" s="1">
        <v>460</v>
      </c>
      <c r="DJ5" s="1">
        <v>460</v>
      </c>
      <c r="DK5" s="1">
        <v>460</v>
      </c>
      <c r="DL5" s="1">
        <v>460</v>
      </c>
      <c r="DM5" s="1">
        <v>460</v>
      </c>
      <c r="DN5" s="1">
        <v>460</v>
      </c>
      <c r="DO5" s="1">
        <v>460</v>
      </c>
      <c r="DP5" s="1">
        <v>460</v>
      </c>
      <c r="DQ5" s="1">
        <v>460</v>
      </c>
      <c r="DR5" s="1">
        <v>460</v>
      </c>
      <c r="DS5" s="1">
        <v>460</v>
      </c>
      <c r="DT5" s="17"/>
      <c r="DU5" s="17"/>
      <c r="DV5" s="17"/>
    </row>
    <row r="6" spans="1:128" x14ac:dyDescent="0.25">
      <c r="A6" s="1" t="s">
        <v>31</v>
      </c>
      <c r="D6" s="1" t="s">
        <v>32</v>
      </c>
      <c r="E6" s="23">
        <f t="shared" ref="E6:F6" si="7">+E4-E5</f>
        <v>-75.666666666666686</v>
      </c>
      <c r="F6" s="23">
        <f t="shared" si="7"/>
        <v>-73</v>
      </c>
      <c r="G6" s="23">
        <f t="shared" ref="G6:H6" si="8">+G4-G5</f>
        <v>-71</v>
      </c>
      <c r="H6" s="23">
        <f t="shared" si="8"/>
        <v>-70</v>
      </c>
      <c r="I6" s="23">
        <f t="shared" ref="I6:J6" si="9">+I4-I5</f>
        <v>-67.666666666666686</v>
      </c>
      <c r="J6" s="23">
        <f t="shared" si="9"/>
        <v>-66.333333333333314</v>
      </c>
      <c r="K6" s="23">
        <f t="shared" ref="K6:L6" si="10">+K4-K5</f>
        <v>-64.333333333333314</v>
      </c>
      <c r="L6" s="23">
        <f t="shared" si="10"/>
        <v>-62.666666666666686</v>
      </c>
      <c r="M6" s="23">
        <f t="shared" ref="M6:N6" si="11">+M4-M5</f>
        <v>-58.666666666666686</v>
      </c>
      <c r="N6" s="23">
        <f t="shared" si="11"/>
        <v>-55.333333333333314</v>
      </c>
      <c r="O6" s="23">
        <f t="shared" ref="O6:P6" si="12">+O4-O5</f>
        <v>-54</v>
      </c>
      <c r="P6" s="23">
        <f t="shared" si="12"/>
        <v>-53</v>
      </c>
      <c r="Q6" s="90">
        <f t="shared" ref="Q6:CB6" si="13">+Q4-Q5</f>
        <v>-88</v>
      </c>
      <c r="R6" s="39">
        <f t="shared" si="13"/>
        <v>-86</v>
      </c>
      <c r="S6" s="39">
        <f t="shared" si="13"/>
        <v>-83.666666666666686</v>
      </c>
      <c r="T6" s="39">
        <f t="shared" si="13"/>
        <v>-82.333333333333314</v>
      </c>
      <c r="U6" s="39">
        <f t="shared" si="13"/>
        <v>-81.333333333333314</v>
      </c>
      <c r="V6" s="39">
        <f t="shared" si="13"/>
        <v>-78.666666666666686</v>
      </c>
      <c r="W6" s="39">
        <f t="shared" si="13"/>
        <v>-73</v>
      </c>
      <c r="X6" s="39">
        <f t="shared" si="13"/>
        <v>-68.333333333333314</v>
      </c>
      <c r="Y6" s="39">
        <f t="shared" si="13"/>
        <v>-66</v>
      </c>
      <c r="Z6" s="39">
        <f t="shared" si="13"/>
        <v>-65.666666666666686</v>
      </c>
      <c r="AA6" s="39">
        <f t="shared" si="13"/>
        <v>-65.5</v>
      </c>
      <c r="AB6" s="39">
        <f t="shared" si="13"/>
        <v>-65</v>
      </c>
      <c r="AC6" s="39">
        <f t="shared" si="13"/>
        <v>-39</v>
      </c>
      <c r="AD6" s="39">
        <f t="shared" si="13"/>
        <v>-39</v>
      </c>
      <c r="AE6" s="39">
        <f t="shared" si="13"/>
        <v>-40.75</v>
      </c>
      <c r="AF6" s="39">
        <f t="shared" si="13"/>
        <v>-40.75</v>
      </c>
      <c r="AG6" s="39">
        <f t="shared" si="13"/>
        <v>-40.75</v>
      </c>
      <c r="AH6" s="39">
        <f t="shared" si="13"/>
        <v>-40.75</v>
      </c>
      <c r="AI6" s="39">
        <f t="shared" si="13"/>
        <v>-39.75</v>
      </c>
      <c r="AJ6" s="39">
        <f t="shared" si="13"/>
        <v>-37</v>
      </c>
      <c r="AK6" s="39">
        <f t="shared" si="13"/>
        <v>-36.25</v>
      </c>
      <c r="AL6" s="39">
        <f t="shared" si="13"/>
        <v>-33.5</v>
      </c>
      <c r="AM6" s="39">
        <f t="shared" si="13"/>
        <v>-31.75</v>
      </c>
      <c r="AN6" s="39">
        <f t="shared" si="13"/>
        <v>-31</v>
      </c>
      <c r="AO6" s="39">
        <f t="shared" si="13"/>
        <v>-29</v>
      </c>
      <c r="AP6" s="39">
        <f t="shared" si="13"/>
        <v>-31.25</v>
      </c>
      <c r="AQ6" s="39">
        <f t="shared" si="13"/>
        <v>-32</v>
      </c>
      <c r="AR6" s="39">
        <f t="shared" si="13"/>
        <v>-33.5</v>
      </c>
      <c r="AS6" s="39">
        <f t="shared" si="13"/>
        <v>-35.25</v>
      </c>
      <c r="AT6" s="39">
        <f t="shared" si="13"/>
        <v>-33.25</v>
      </c>
      <c r="AU6" s="39">
        <f t="shared" si="13"/>
        <v>-33.25</v>
      </c>
      <c r="AV6" s="39">
        <f t="shared" si="13"/>
        <v>-35.75</v>
      </c>
      <c r="AW6" s="39">
        <f t="shared" si="13"/>
        <v>-39</v>
      </c>
      <c r="AX6" s="39">
        <f t="shared" si="13"/>
        <v>-42</v>
      </c>
      <c r="AY6" s="39">
        <f t="shared" si="13"/>
        <v>-45.5</v>
      </c>
      <c r="AZ6" s="39">
        <f t="shared" si="13"/>
        <v>-48</v>
      </c>
      <c r="BA6" s="39">
        <f t="shared" si="13"/>
        <v>-26.142857142857167</v>
      </c>
      <c r="BB6" s="39">
        <f t="shared" si="13"/>
        <v>-28.714285714285722</v>
      </c>
      <c r="BC6" s="39">
        <f t="shared" si="13"/>
        <v>-30.285714285714278</v>
      </c>
      <c r="BD6" s="39">
        <f t="shared" si="13"/>
        <v>-32</v>
      </c>
      <c r="BE6" s="39">
        <f t="shared" si="13"/>
        <v>-32.571428571428555</v>
      </c>
      <c r="BF6" s="23">
        <f t="shared" si="13"/>
        <v>-31.571428571428555</v>
      </c>
      <c r="BG6" s="23">
        <f t="shared" si="13"/>
        <v>-32</v>
      </c>
      <c r="BH6" s="23">
        <f t="shared" si="13"/>
        <v>-30.399999999999977</v>
      </c>
      <c r="BI6" s="41">
        <f t="shared" si="13"/>
        <v>-29.25</v>
      </c>
      <c r="BJ6" s="23">
        <f t="shared" si="13"/>
        <v>-26.666666666666686</v>
      </c>
      <c r="BK6" s="23">
        <f t="shared" si="13"/>
        <v>-22.5</v>
      </c>
      <c r="BL6" s="23">
        <f t="shared" si="13"/>
        <v>-14</v>
      </c>
      <c r="BM6" s="23">
        <f t="shared" si="13"/>
        <v>-39.583333333333314</v>
      </c>
      <c r="BN6" s="23">
        <f t="shared" si="13"/>
        <v>-38.181818181818187</v>
      </c>
      <c r="BO6" s="23">
        <f t="shared" si="13"/>
        <v>-36.5</v>
      </c>
      <c r="BP6" s="23">
        <f t="shared" si="13"/>
        <v>-34.777777777777771</v>
      </c>
      <c r="BQ6" s="23">
        <f t="shared" si="13"/>
        <v>-33.625</v>
      </c>
      <c r="BR6" s="23">
        <f t="shared" si="13"/>
        <v>-33.142857142857167</v>
      </c>
      <c r="BS6" s="23">
        <f t="shared" si="13"/>
        <v>-31.833333333333314</v>
      </c>
      <c r="BT6" s="23">
        <f t="shared" si="13"/>
        <v>-30.199999999999989</v>
      </c>
      <c r="BU6" s="23">
        <f t="shared" si="13"/>
        <v>-28</v>
      </c>
      <c r="BV6" s="23">
        <f t="shared" si="13"/>
        <v>-26.666666666666686</v>
      </c>
      <c r="BW6" s="23">
        <f t="shared" si="13"/>
        <v>-26</v>
      </c>
      <c r="BX6" s="23">
        <f t="shared" si="13"/>
        <v>-23</v>
      </c>
      <c r="BY6" s="23">
        <f t="shared" si="13"/>
        <v>-18.666666666666686</v>
      </c>
      <c r="BZ6" s="23">
        <f t="shared" si="13"/>
        <v>-19.454545454545439</v>
      </c>
      <c r="CA6" s="23">
        <f t="shared" si="13"/>
        <v>-20.600000000000023</v>
      </c>
      <c r="CB6" s="23">
        <f t="shared" si="13"/>
        <v>-21.111111111111086</v>
      </c>
      <c r="CC6" s="23">
        <f t="shared" ref="CC6:DS6" si="14">+CC4-CC5</f>
        <v>-21.375</v>
      </c>
      <c r="CD6" s="23">
        <f t="shared" si="14"/>
        <v>-21.714285714285722</v>
      </c>
      <c r="CE6" s="23">
        <f t="shared" si="14"/>
        <v>-22.333333333333314</v>
      </c>
      <c r="CF6" s="23">
        <f t="shared" si="14"/>
        <v>-23.800000000000011</v>
      </c>
      <c r="CG6" s="23">
        <f t="shared" si="14"/>
        <v>-24.75</v>
      </c>
      <c r="CH6" s="23">
        <f t="shared" si="14"/>
        <v>-23.666666666666686</v>
      </c>
      <c r="CI6" s="23">
        <f t="shared" si="14"/>
        <v>-20.5</v>
      </c>
      <c r="CJ6" s="23">
        <f t="shared" si="14"/>
        <v>-18</v>
      </c>
      <c r="CK6" s="23">
        <f t="shared" si="14"/>
        <v>-24.333333333333314</v>
      </c>
      <c r="CL6" s="23">
        <f t="shared" si="14"/>
        <v>-24.090909090909065</v>
      </c>
      <c r="CM6" s="23">
        <f t="shared" si="14"/>
        <v>-23.699999999999989</v>
      </c>
      <c r="CN6" s="23">
        <f t="shared" si="14"/>
        <v>-23.666666666666686</v>
      </c>
      <c r="CO6" s="23">
        <f t="shared" si="14"/>
        <v>-24.25</v>
      </c>
      <c r="CP6" s="23">
        <f t="shared" si="14"/>
        <v>-23.714285714285722</v>
      </c>
      <c r="CQ6" s="23">
        <f t="shared" si="14"/>
        <v>-24.166666666666686</v>
      </c>
      <c r="CR6" s="23">
        <f t="shared" si="14"/>
        <v>-24.800000000000011</v>
      </c>
      <c r="CS6" s="23">
        <f t="shared" si="14"/>
        <v>-24.75</v>
      </c>
      <c r="CT6" s="23">
        <f t="shared" si="14"/>
        <v>-24.666666666666686</v>
      </c>
      <c r="CU6" s="23">
        <f t="shared" si="14"/>
        <v>-26</v>
      </c>
      <c r="CV6" s="23">
        <f t="shared" si="14"/>
        <v>-24</v>
      </c>
      <c r="CW6" s="23">
        <f t="shared" si="14"/>
        <v>-18.454545454545439</v>
      </c>
      <c r="CX6" s="23">
        <f t="shared" si="14"/>
        <v>-19.300000000000011</v>
      </c>
      <c r="CY6" s="23">
        <f t="shared" si="14"/>
        <v>-19.777777777777771</v>
      </c>
      <c r="CZ6" s="23">
        <f t="shared" si="14"/>
        <v>-19.75</v>
      </c>
      <c r="DA6" s="23">
        <f t="shared" si="14"/>
        <v>-19.428571428571445</v>
      </c>
      <c r="DB6" s="23">
        <f t="shared" si="14"/>
        <v>-17.666666666666686</v>
      </c>
      <c r="DC6" s="23">
        <f t="shared" si="14"/>
        <v>-17</v>
      </c>
      <c r="DD6" s="23">
        <f t="shared" si="14"/>
        <v>-17.25</v>
      </c>
      <c r="DE6" s="23">
        <f t="shared" si="14"/>
        <v>-16.333333333333314</v>
      </c>
      <c r="DF6" s="23">
        <f t="shared" si="14"/>
        <v>-16</v>
      </c>
      <c r="DG6" s="23">
        <f t="shared" si="14"/>
        <v>-12</v>
      </c>
      <c r="DH6" s="23">
        <f t="shared" si="14"/>
        <v>-27.636363636363626</v>
      </c>
      <c r="DI6" s="23">
        <f t="shared" si="14"/>
        <v>-27.636363636363626</v>
      </c>
      <c r="DJ6" s="23">
        <f t="shared" si="14"/>
        <v>-28.199999999999989</v>
      </c>
      <c r="DK6" s="23">
        <f t="shared" si="14"/>
        <v>-28.777777777777771</v>
      </c>
      <c r="DL6" s="23">
        <f t="shared" si="14"/>
        <v>-29.25</v>
      </c>
      <c r="DM6" s="23">
        <f t="shared" si="14"/>
        <v>-29.571428571428555</v>
      </c>
      <c r="DN6" s="23">
        <f t="shared" si="14"/>
        <v>-29.833333333333314</v>
      </c>
      <c r="DO6" s="23">
        <f t="shared" si="14"/>
        <v>-29.800000000000011</v>
      </c>
      <c r="DP6" s="23">
        <f t="shared" si="14"/>
        <v>-29.25</v>
      </c>
      <c r="DQ6" s="23">
        <f t="shared" si="14"/>
        <v>-33</v>
      </c>
      <c r="DR6" s="23">
        <f t="shared" si="14"/>
        <v>-26.5</v>
      </c>
      <c r="DS6" s="23">
        <f t="shared" si="14"/>
        <v>-21</v>
      </c>
      <c r="DU6" s="17"/>
    </row>
    <row r="7" spans="1:128" x14ac:dyDescent="0.25">
      <c r="A7" s="1" t="s">
        <v>33</v>
      </c>
      <c r="D7" s="1" t="s">
        <v>34</v>
      </c>
      <c r="E7" s="24">
        <f t="shared" ref="E7" si="15">+E6*218</f>
        <v>-16495.333333333336</v>
      </c>
      <c r="F7" s="24">
        <f t="shared" ref="F7:G7" si="16">+F6*218</f>
        <v>-15914</v>
      </c>
      <c r="G7" s="24">
        <f t="shared" si="16"/>
        <v>-15478</v>
      </c>
      <c r="H7" s="24">
        <f t="shared" ref="H7:I7" si="17">+H6*218</f>
        <v>-15260</v>
      </c>
      <c r="I7" s="24">
        <f t="shared" si="17"/>
        <v>-14751.333333333338</v>
      </c>
      <c r="J7" s="24">
        <f t="shared" ref="J7:K7" si="18">+J6*218</f>
        <v>-14460.666666666662</v>
      </c>
      <c r="K7" s="24">
        <f t="shared" si="18"/>
        <v>-14024.666666666662</v>
      </c>
      <c r="L7" s="24">
        <f t="shared" ref="L7:AB7" si="19">+L6*218</f>
        <v>-13661.333333333338</v>
      </c>
      <c r="M7" s="24">
        <f t="shared" si="19"/>
        <v>-12789.333333333338</v>
      </c>
      <c r="N7" s="24">
        <f t="shared" si="19"/>
        <v>-12062.666666666662</v>
      </c>
      <c r="O7" s="24">
        <f t="shared" si="19"/>
        <v>-11772</v>
      </c>
      <c r="P7" s="24">
        <f t="shared" si="19"/>
        <v>-11554</v>
      </c>
      <c r="Q7" s="91">
        <f t="shared" si="19"/>
        <v>-19184</v>
      </c>
      <c r="R7" s="83">
        <f t="shared" si="19"/>
        <v>-18748</v>
      </c>
      <c r="S7" s="83">
        <f t="shared" si="19"/>
        <v>-18239.333333333336</v>
      </c>
      <c r="T7" s="83">
        <f t="shared" si="19"/>
        <v>-17948.666666666664</v>
      </c>
      <c r="U7" s="83">
        <f t="shared" si="19"/>
        <v>-17730.666666666664</v>
      </c>
      <c r="V7" s="24">
        <f t="shared" si="19"/>
        <v>-17149.333333333336</v>
      </c>
      <c r="W7" s="83">
        <f t="shared" si="19"/>
        <v>-15914</v>
      </c>
      <c r="X7" s="83">
        <f t="shared" si="19"/>
        <v>-14896.666666666662</v>
      </c>
      <c r="Y7" s="80">
        <f t="shared" si="19"/>
        <v>-14388</v>
      </c>
      <c r="Z7" s="24">
        <f t="shared" si="19"/>
        <v>-14315.333333333338</v>
      </c>
      <c r="AA7" s="24">
        <f t="shared" si="19"/>
        <v>-14279</v>
      </c>
      <c r="AB7" s="24">
        <f t="shared" si="19"/>
        <v>-14170</v>
      </c>
      <c r="AC7" s="24">
        <f>+AC6*192</f>
        <v>-7488</v>
      </c>
      <c r="AD7" s="24">
        <f t="shared" ref="AD7:BX7" si="20">+AD6*192</f>
        <v>-7488</v>
      </c>
      <c r="AE7" s="77">
        <f t="shared" si="20"/>
        <v>-7824</v>
      </c>
      <c r="AF7" s="24">
        <f t="shared" si="20"/>
        <v>-7824</v>
      </c>
      <c r="AG7" s="24">
        <f t="shared" si="20"/>
        <v>-7824</v>
      </c>
      <c r="AH7" s="24">
        <f t="shared" si="20"/>
        <v>-7824</v>
      </c>
      <c r="AI7" s="24">
        <f t="shared" si="20"/>
        <v>-7632</v>
      </c>
      <c r="AJ7" s="24">
        <f t="shared" si="20"/>
        <v>-7104</v>
      </c>
      <c r="AK7" s="24">
        <f t="shared" si="20"/>
        <v>-6960</v>
      </c>
      <c r="AL7" s="24">
        <f t="shared" si="20"/>
        <v>-6432</v>
      </c>
      <c r="AM7" s="24">
        <f t="shared" si="20"/>
        <v>-6096</v>
      </c>
      <c r="AN7" s="24">
        <f t="shared" si="20"/>
        <v>-5952</v>
      </c>
      <c r="AO7" s="24">
        <f t="shared" si="20"/>
        <v>-5568</v>
      </c>
      <c r="AP7" s="24">
        <f t="shared" si="20"/>
        <v>-6000</v>
      </c>
      <c r="AQ7" s="24">
        <f t="shared" si="20"/>
        <v>-6144</v>
      </c>
      <c r="AR7" s="24">
        <f t="shared" si="20"/>
        <v>-6432</v>
      </c>
      <c r="AS7" s="24">
        <f t="shared" si="20"/>
        <v>-6768</v>
      </c>
      <c r="AT7" s="24">
        <f t="shared" si="20"/>
        <v>-6384</v>
      </c>
      <c r="AU7" s="24">
        <f t="shared" si="20"/>
        <v>-6384</v>
      </c>
      <c r="AV7" s="24">
        <f t="shared" si="20"/>
        <v>-6864</v>
      </c>
      <c r="AW7" s="24">
        <f t="shared" si="20"/>
        <v>-7488</v>
      </c>
      <c r="AX7" s="24">
        <f t="shared" si="20"/>
        <v>-8064</v>
      </c>
      <c r="AY7" s="24">
        <f t="shared" si="20"/>
        <v>-8736</v>
      </c>
      <c r="AZ7" s="24">
        <f t="shared" si="20"/>
        <v>-9216</v>
      </c>
      <c r="BA7" s="24">
        <f t="shared" si="20"/>
        <v>-5019.4285714285761</v>
      </c>
      <c r="BB7" s="24">
        <f t="shared" si="20"/>
        <v>-5513.1428571428587</v>
      </c>
      <c r="BC7" s="24">
        <f t="shared" si="20"/>
        <v>-5814.8571428571413</v>
      </c>
      <c r="BD7" s="24">
        <f t="shared" si="20"/>
        <v>-6144</v>
      </c>
      <c r="BE7" s="24">
        <f t="shared" si="20"/>
        <v>-6253.7142857142826</v>
      </c>
      <c r="BF7" s="42">
        <f t="shared" si="20"/>
        <v>-6061.7142857142826</v>
      </c>
      <c r="BG7" s="24">
        <f t="shared" si="20"/>
        <v>-6144</v>
      </c>
      <c r="BH7" s="24">
        <f t="shared" si="20"/>
        <v>-5836.7999999999956</v>
      </c>
      <c r="BI7" s="43">
        <f t="shared" si="20"/>
        <v>-5616</v>
      </c>
      <c r="BJ7" s="24">
        <f t="shared" si="20"/>
        <v>-5120.0000000000036</v>
      </c>
      <c r="BK7" s="24">
        <f t="shared" si="20"/>
        <v>-4320</v>
      </c>
      <c r="BL7" s="24">
        <f t="shared" si="20"/>
        <v>-2688</v>
      </c>
      <c r="BM7" s="24">
        <f t="shared" si="20"/>
        <v>-7599.9999999999964</v>
      </c>
      <c r="BN7" s="24">
        <f t="shared" si="20"/>
        <v>-7330.9090909090919</v>
      </c>
      <c r="BO7" s="24">
        <f t="shared" si="20"/>
        <v>-7008</v>
      </c>
      <c r="BP7" s="24">
        <f t="shared" si="20"/>
        <v>-6677.3333333333321</v>
      </c>
      <c r="BQ7" s="24">
        <f t="shared" si="20"/>
        <v>-6456</v>
      </c>
      <c r="BR7" s="24">
        <f t="shared" si="20"/>
        <v>-6363.4285714285761</v>
      </c>
      <c r="BS7" s="24">
        <f t="shared" si="20"/>
        <v>-6111.9999999999964</v>
      </c>
      <c r="BT7" s="24">
        <f t="shared" si="20"/>
        <v>-5798.3999999999978</v>
      </c>
      <c r="BU7" s="24">
        <f t="shared" si="20"/>
        <v>-5376</v>
      </c>
      <c r="BV7" s="24">
        <f t="shared" si="20"/>
        <v>-5120.0000000000036</v>
      </c>
      <c r="BW7" s="24">
        <f t="shared" si="20"/>
        <v>-4992</v>
      </c>
      <c r="BX7" s="24">
        <f t="shared" si="20"/>
        <v>-4416</v>
      </c>
      <c r="BY7" s="24">
        <f t="shared" ref="BY7:DS7" si="21">+BY6*168</f>
        <v>-3136.0000000000032</v>
      </c>
      <c r="BZ7" s="24">
        <f t="shared" si="21"/>
        <v>-3268.3636363636338</v>
      </c>
      <c r="CA7" s="24">
        <f t="shared" si="21"/>
        <v>-3460.8000000000038</v>
      </c>
      <c r="CB7" s="24">
        <f t="shared" si="21"/>
        <v>-3546.6666666666624</v>
      </c>
      <c r="CC7" s="24">
        <f t="shared" si="21"/>
        <v>-3591</v>
      </c>
      <c r="CD7" s="24">
        <f t="shared" si="21"/>
        <v>-3648.0000000000014</v>
      </c>
      <c r="CE7" s="24">
        <f t="shared" si="21"/>
        <v>-3751.9999999999968</v>
      </c>
      <c r="CF7" s="24">
        <f t="shared" si="21"/>
        <v>-3998.4000000000019</v>
      </c>
      <c r="CG7" s="24">
        <f t="shared" si="21"/>
        <v>-4158</v>
      </c>
      <c r="CH7" s="24">
        <f t="shared" si="21"/>
        <v>-3976.0000000000032</v>
      </c>
      <c r="CI7" s="24">
        <f t="shared" si="21"/>
        <v>-3444</v>
      </c>
      <c r="CJ7" s="24">
        <f t="shared" si="21"/>
        <v>-3024</v>
      </c>
      <c r="CK7" s="24">
        <f t="shared" si="21"/>
        <v>-4087.9999999999968</v>
      </c>
      <c r="CL7" s="24">
        <f t="shared" si="21"/>
        <v>-4047.2727272727229</v>
      </c>
      <c r="CM7" s="24">
        <f t="shared" si="21"/>
        <v>-3981.5999999999981</v>
      </c>
      <c r="CN7" s="24">
        <f t="shared" si="21"/>
        <v>-3976.0000000000032</v>
      </c>
      <c r="CO7" s="24">
        <f t="shared" si="21"/>
        <v>-4074</v>
      </c>
      <c r="CP7" s="24">
        <f t="shared" si="21"/>
        <v>-3984.0000000000014</v>
      </c>
      <c r="CQ7" s="24">
        <f t="shared" si="21"/>
        <v>-4060.0000000000032</v>
      </c>
      <c r="CR7" s="24">
        <f t="shared" si="21"/>
        <v>-4166.4000000000015</v>
      </c>
      <c r="CS7" s="24">
        <f t="shared" si="21"/>
        <v>-4158</v>
      </c>
      <c r="CT7" s="24">
        <f t="shared" si="21"/>
        <v>-4144.0000000000036</v>
      </c>
      <c r="CU7" s="24">
        <f t="shared" si="21"/>
        <v>-4368</v>
      </c>
      <c r="CV7" s="24">
        <f t="shared" si="21"/>
        <v>-4032</v>
      </c>
      <c r="CW7" s="24">
        <f t="shared" si="21"/>
        <v>-3100.3636363636338</v>
      </c>
      <c r="CX7" s="24">
        <f t="shared" si="21"/>
        <v>-3242.4000000000019</v>
      </c>
      <c r="CY7" s="24">
        <f t="shared" si="21"/>
        <v>-3322.6666666666656</v>
      </c>
      <c r="CZ7" s="24">
        <f t="shared" si="21"/>
        <v>-3318</v>
      </c>
      <c r="DA7" s="24">
        <f t="shared" si="21"/>
        <v>-3264.0000000000027</v>
      </c>
      <c r="DB7" s="24">
        <f t="shared" si="21"/>
        <v>-2968.0000000000032</v>
      </c>
      <c r="DC7" s="24">
        <f t="shared" si="21"/>
        <v>-2856</v>
      </c>
      <c r="DD7" s="24">
        <f t="shared" si="21"/>
        <v>-2898</v>
      </c>
      <c r="DE7" s="24">
        <f t="shared" si="21"/>
        <v>-2743.9999999999968</v>
      </c>
      <c r="DF7" s="24">
        <f t="shared" si="21"/>
        <v>-2688</v>
      </c>
      <c r="DG7" s="24">
        <f t="shared" si="21"/>
        <v>-2016</v>
      </c>
      <c r="DH7" s="24">
        <f t="shared" si="21"/>
        <v>-4642.9090909090892</v>
      </c>
      <c r="DI7" s="24">
        <f t="shared" si="21"/>
        <v>-4642.9090909090892</v>
      </c>
      <c r="DJ7" s="24">
        <f t="shared" si="21"/>
        <v>-4737.5999999999985</v>
      </c>
      <c r="DK7" s="24">
        <f t="shared" si="21"/>
        <v>-4834.6666666666661</v>
      </c>
      <c r="DL7" s="24">
        <f t="shared" si="21"/>
        <v>-4914</v>
      </c>
      <c r="DM7" s="24">
        <f t="shared" si="21"/>
        <v>-4967.9999999999973</v>
      </c>
      <c r="DN7" s="24">
        <f t="shared" si="21"/>
        <v>-5011.9999999999964</v>
      </c>
      <c r="DO7" s="24">
        <f t="shared" si="21"/>
        <v>-5006.4000000000015</v>
      </c>
      <c r="DP7" s="24">
        <f t="shared" si="21"/>
        <v>-4914</v>
      </c>
      <c r="DQ7" s="24">
        <f t="shared" si="21"/>
        <v>-5544</v>
      </c>
      <c r="DR7" s="24">
        <f t="shared" si="21"/>
        <v>-4452</v>
      </c>
      <c r="DS7" s="24">
        <f t="shared" si="21"/>
        <v>-3528</v>
      </c>
    </row>
    <row r="8" spans="1:128" x14ac:dyDescent="0.25"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89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76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7"/>
      <c r="AU8" s="17"/>
      <c r="AV8" s="17"/>
      <c r="AW8" s="17"/>
      <c r="AX8" s="15"/>
      <c r="AY8" s="17"/>
      <c r="AZ8" s="17"/>
      <c r="BA8" s="17"/>
      <c r="BB8" s="17"/>
      <c r="BC8" s="17"/>
      <c r="BD8" s="14"/>
      <c r="BE8" s="16"/>
      <c r="BF8" s="1"/>
      <c r="BG8" s="1"/>
      <c r="BI8" s="37"/>
    </row>
    <row r="9" spans="1:128" x14ac:dyDescent="0.25">
      <c r="A9" s="75" t="s">
        <v>35</v>
      </c>
      <c r="D9" s="1" t="s">
        <v>36</v>
      </c>
      <c r="E9" s="25">
        <f>152011.2-63440.08-18525-40978</f>
        <v>29068.12000000001</v>
      </c>
      <c r="F9" s="25">
        <f>148828.41-63185.73-18037.5-40373</f>
        <v>27232.179999999993</v>
      </c>
      <c r="G9" s="25">
        <f>143441.49-63094.89-18025-35565</f>
        <v>26756.599999999991</v>
      </c>
      <c r="H9" s="25">
        <f>137887.65-62822.39-17925-35565</f>
        <v>21575.259999999995</v>
      </c>
      <c r="I9" s="25">
        <f>132670.42-61423.4-17662.5-35565</f>
        <v>18019.520000000019</v>
      </c>
      <c r="J9" s="25">
        <f>125153-59279.73-16875-35565</f>
        <v>13433.26999999999</v>
      </c>
      <c r="K9" s="25">
        <f>120943.04-58135.24-16175-35565</f>
        <v>11067.799999999996</v>
      </c>
      <c r="L9" s="25">
        <f>117753.54-56602.56-15412.5-35381</f>
        <v>10357.479999999996</v>
      </c>
      <c r="M9" s="25">
        <f>97078.39-55210.38-15062.5-11784</f>
        <v>15021.510000000002</v>
      </c>
      <c r="N9" s="25">
        <f>100715.68-77376.26-15362.5-0</f>
        <v>7976.9199999999983</v>
      </c>
      <c r="O9" s="25">
        <f>93347.26-73997.26-14112.5-0</f>
        <v>5237.5</v>
      </c>
      <c r="P9" s="25">
        <f>85269.27-69266.44-12650-0</f>
        <v>3352.8300000000017</v>
      </c>
      <c r="Q9" s="92">
        <f>127418.29-53683.65-17825-19732</f>
        <v>36177.639999999985</v>
      </c>
      <c r="R9" s="45">
        <f>123459.28-53347.65-17825-19299</f>
        <v>32987.630000000005</v>
      </c>
      <c r="S9" s="45">
        <f>118135.48-53147.8-17775-15915</f>
        <v>31297.679999999993</v>
      </c>
      <c r="T9" s="45">
        <f>111887.73-52857.13-17637.5-15915</f>
        <v>25478.1</v>
      </c>
      <c r="U9" s="45">
        <f>102504.29-52112.29-17300-15915</f>
        <v>17176.999999999993</v>
      </c>
      <c r="V9" s="45">
        <f>98487.9-50604.45-16787.5-15915</f>
        <v>15180.949999999997</v>
      </c>
      <c r="W9" s="45">
        <f>94632.81-49150.51-15875-15915</f>
        <v>13692.299999999996</v>
      </c>
      <c r="X9" s="45">
        <f>90361.96-47565.34-15162.5-15915</f>
        <v>11719.12000000001</v>
      </c>
      <c r="Y9" s="45">
        <f>86769.41-46166.51-15012.5-15915</f>
        <v>9675.4000000000015</v>
      </c>
      <c r="Z9" s="45">
        <f>71976.42-43278.01-13987.5-6780</f>
        <v>7930.9099999999962</v>
      </c>
      <c r="AA9" s="45">
        <f>58914.62-40800.35-13637.5-0</f>
        <v>4476.7700000000041</v>
      </c>
      <c r="AB9" s="45">
        <f>51255.27-36316.34-12312.5-0</f>
        <v>2626.4300000000003</v>
      </c>
      <c r="AC9" s="45">
        <f>135440.58-60129.91-22537.5-25554</f>
        <v>27219.169999999984</v>
      </c>
      <c r="AD9" s="45">
        <f>133657.88-59937.91-22387.5-25401</f>
        <v>25931.47</v>
      </c>
      <c r="AE9" s="45">
        <f>126840.28-59745.91-22362.5-19677</f>
        <v>25054.869999999995</v>
      </c>
      <c r="AF9" s="45">
        <f>123744.26-59345.91-22262.5-19377</f>
        <v>22758.849999999991</v>
      </c>
      <c r="AG9" s="45">
        <f>96019.13-46916.5-10512.5-19377</f>
        <v>19213.130000000005</v>
      </c>
      <c r="AH9" s="45">
        <f>93685.95-46596.5-10512.5-19377</f>
        <v>17199.949999999997</v>
      </c>
      <c r="AI9" s="45">
        <f>87917.28-42980.5-10512.5-19377</f>
        <v>15047.279999999999</v>
      </c>
      <c r="AJ9" s="45">
        <f>85737.49-42756.5-10362.5-19377</f>
        <v>13241.490000000005</v>
      </c>
      <c r="AK9" s="45">
        <f>82602.49-40579.33-10362.5-20038</f>
        <v>11622.660000000003</v>
      </c>
      <c r="AL9" s="45">
        <f>64948.22-40195.33-10362.5-6194</f>
        <v>8196.39</v>
      </c>
      <c r="AM9" s="45">
        <f>56574.79-40065.83-10362.5-0</f>
        <v>6146.4599999999991</v>
      </c>
      <c r="AN9" s="45">
        <f>53110.31-39662.17-10212.5-0</f>
        <v>3235.6399999999994</v>
      </c>
      <c r="AO9" s="45">
        <f>140839.18-61188.17-22112.5-17209.5</f>
        <v>40329.009999999995</v>
      </c>
      <c r="AP9" s="45">
        <f>135643.29-59956.17-21925-16803.5</f>
        <v>36958.62000000001</v>
      </c>
      <c r="AQ9" s="45">
        <f>129605.21-59860.17-21925-13399.5</f>
        <v>34420.540000000008</v>
      </c>
      <c r="AR9" s="45">
        <f>120415.64-59284.17-21787.5-12949.5</f>
        <v>26394.47</v>
      </c>
      <c r="AS9" s="45">
        <f>113827.9-58674.67-21437.5-12949.5</f>
        <v>20766.229999999996</v>
      </c>
      <c r="AT9" s="45">
        <f>109455.3-57938.67-21212.5-12949.5</f>
        <v>17354.630000000005</v>
      </c>
      <c r="AU9" s="45">
        <f>104933.41-56738.67-20262.5-12949.5</f>
        <v>14982.740000000005</v>
      </c>
      <c r="AV9" s="45">
        <f>101048.75-55378.67-19662.5-12949.5</f>
        <v>13058.080000000002</v>
      </c>
      <c r="AW9" s="45">
        <f>95806.56-54098.67-18887.5-13014</f>
        <v>9806.39</v>
      </c>
      <c r="AX9" s="45">
        <f>81144.43-52498.67-18150-2073</f>
        <v>8422.7599999999948</v>
      </c>
      <c r="AY9" s="45">
        <f>69786.97-48718.17-16912.5-0</f>
        <v>4156.3000000000029</v>
      </c>
      <c r="AZ9" s="45">
        <f>55961.81-42379.83-11800-0</f>
        <v>1781.9799999999959</v>
      </c>
      <c r="BA9" s="45">
        <f>138799.03-64867.67-21912.5-17986</f>
        <v>34032.86</v>
      </c>
      <c r="BB9" s="45">
        <f>133534.81-64755.67-21537.5-16564</f>
        <v>30677.64</v>
      </c>
      <c r="BC9" s="45">
        <f>126103.4-64323.67-21412.5-11643</f>
        <v>28724.229999999996</v>
      </c>
      <c r="BD9" s="45">
        <f>118942.92-63907.67-21262.5-10851</f>
        <v>22921.75</v>
      </c>
      <c r="BE9" s="45">
        <f>112645.56-63250.17-21062.5-10851</f>
        <v>17481.89</v>
      </c>
      <c r="BF9" s="25">
        <f>105714.78-61650.17-20562.5-10851</f>
        <v>12651.11</v>
      </c>
      <c r="BG9" s="25">
        <f>(101207.39-59922.17-20000-10851)</f>
        <v>10434.220000000001</v>
      </c>
      <c r="BH9" s="25">
        <f>(96736.21-58194.17-18837.5-10851)</f>
        <v>8853.5400000000081</v>
      </c>
      <c r="BI9" s="47">
        <f>(90616.76-55874.17-18237.5 -9511)</f>
        <v>6994.0899999999965</v>
      </c>
      <c r="BJ9" s="25">
        <f>(85270.86-52956.17-17575-9298)</f>
        <v>5441.6900000000023</v>
      </c>
      <c r="BK9" s="25">
        <f>(78275.58-49836.17-16250-8497)</f>
        <v>3692.4100000000035</v>
      </c>
      <c r="BL9" s="25">
        <f>(67368.02-45912.67-14975-3559)</f>
        <v>2921.3500000000058</v>
      </c>
      <c r="BM9" s="25">
        <f>(137306.14-67877.92-20200-30214)</f>
        <v>19014.220000000016</v>
      </c>
      <c r="BN9" s="25">
        <f>(136448.28-67877.92-20200-30114)</f>
        <v>18256.36</v>
      </c>
      <c r="BO9" s="25">
        <f>(134507.89-67669.92-20125-30114)</f>
        <v>16598.970000000016</v>
      </c>
      <c r="BP9" s="25">
        <f>(132419.84-67269.92-20000-30114)</f>
        <v>15035.919999999998</v>
      </c>
      <c r="BQ9" s="25">
        <f>(130087.57-66753.17-19687.5-30114)</f>
        <v>13532.900000000009</v>
      </c>
      <c r="BR9" s="25">
        <f>(127052.36-65745.17-19381.63-30114)</f>
        <v>11811.559999999998</v>
      </c>
      <c r="BS9" s="25">
        <f>(123915.64-30114-18875-64465.17)</f>
        <v>10461.470000000001</v>
      </c>
      <c r="BT9" s="25">
        <f>(119400.68-30114-17675-62689.17)</f>
        <v>8922.5099999999948</v>
      </c>
      <c r="BU9" s="25">
        <f>(115089.98-30114-16637.5-60369.17)</f>
        <v>7969.3099999999977</v>
      </c>
      <c r="BV9" s="25">
        <f>(104401.99-24697-15950-57627.17)</f>
        <v>6127.820000000007</v>
      </c>
      <c r="BW9" s="25">
        <f>(77385.8-5317-14845.47-52892.33)</f>
        <v>4331</v>
      </c>
      <c r="BX9" s="25">
        <f>(62340.33-13675-46824.33)</f>
        <v>1841</v>
      </c>
      <c r="BY9" s="25">
        <f>(154801.49-68573.91-39133-19800)</f>
        <v>27294.579999999987</v>
      </c>
      <c r="BZ9" s="25">
        <f>(153315.22-68538.91-39133-19950)</f>
        <v>25693.309999999998</v>
      </c>
      <c r="CA9" s="25">
        <f>(151296.12-68272.91-39133-19762.5)</f>
        <v>24127.709999999992</v>
      </c>
      <c r="CB9" s="25">
        <f>(147112.31-67824.91-39133-19550)</f>
        <v>20604.399999999994</v>
      </c>
      <c r="CC9" s="25">
        <f>(142407.77-39133-66893.91-19387.5)</f>
        <v>16993.359999999986</v>
      </c>
      <c r="CD9" s="25">
        <f>(139856.59-39133-66263.91-19062.5)</f>
        <v>15397.179999999993</v>
      </c>
      <c r="CE9" s="25">
        <f>(136007.43-39133-64842.16-18587.5)</f>
        <v>13444.76999999999</v>
      </c>
      <c r="CF9" s="25">
        <f>(131771.28-63099-39133-17437.5)</f>
        <v>12101.779999999999</v>
      </c>
      <c r="CG9" s="25">
        <f>(125494.11-39091-60656.16-16737.5)</f>
        <v>9009.4499999999971</v>
      </c>
      <c r="CH9" s="25">
        <f>(111292.57-57086.5-15950-31766)</f>
        <v>6490.070000000007</v>
      </c>
      <c r="CI9" s="25">
        <f>(80242.26-8204-15400-52420.59)</f>
        <v>4217.6699999999983</v>
      </c>
      <c r="CJ9" s="25">
        <f>(64009.71-13787.5-47447.59)</f>
        <v>2774.6200000000026</v>
      </c>
      <c r="CK9" s="8">
        <v>31472.04</v>
      </c>
      <c r="CL9" s="8">
        <v>30311.14</v>
      </c>
      <c r="CM9" s="8">
        <v>28557.37</v>
      </c>
      <c r="CN9" s="8">
        <v>27103.56</v>
      </c>
      <c r="CO9" s="8">
        <v>24629.8</v>
      </c>
      <c r="CP9" s="48">
        <f>152288.03-70003.48-19432.5-39847</f>
        <v>23005.050000000003</v>
      </c>
      <c r="CQ9" s="48">
        <f>147875.59-39847-68561.48-18545</f>
        <v>20922.11</v>
      </c>
      <c r="CR9" s="48">
        <f>137852.19-67063.48-17420-36040</f>
        <v>17328.710000000006</v>
      </c>
      <c r="CS9" s="48">
        <f>127375.56-29573-65297.23-17057.5</f>
        <v>15447.829999999994</v>
      </c>
      <c r="CT9" s="48">
        <f>100592.34-62570.56-16307.5-8244</f>
        <v>13470.279999999999</v>
      </c>
      <c r="CU9" s="48">
        <f>80791.57-56664.15-15745</f>
        <v>8382.4200000000055</v>
      </c>
      <c r="CV9" s="48">
        <f>70654.5-14395-50670.65</f>
        <v>5588.8499999999985</v>
      </c>
      <c r="CW9" s="48">
        <f>186541.69-50742-73758.84-21200</f>
        <v>40840.850000000006</v>
      </c>
      <c r="CX9" s="48">
        <f>179593.44-50742-73555.84-21187.5</f>
        <v>34108.100000000006</v>
      </c>
      <c r="CY9" s="48">
        <f>168214.77-73037.84-21062.5-50742</f>
        <v>23372.429999999993</v>
      </c>
      <c r="CZ9" s="48">
        <f>165275.02-50742-72421.84-20762.5</f>
        <v>21348.679999999993</v>
      </c>
      <c r="DA9" s="48">
        <f>161997.84-50677-20625-71189.84</f>
        <v>19506</v>
      </c>
      <c r="DB9" s="48">
        <f>158489.58-50677-69999.84-19787.5</f>
        <v>18025.239999999991</v>
      </c>
      <c r="DC9" s="48">
        <f>152773.52-18587.5-68899.94-49811</f>
        <v>15475.079999999987</v>
      </c>
      <c r="DD9" s="48">
        <f>142850.75-43480-66953.84-18050</f>
        <v>14366.910000000003</v>
      </c>
      <c r="DE9" s="48">
        <f>117858.96-25433-64007.84-17262.5</f>
        <v>11155.62000000001</v>
      </c>
      <c r="DF9" s="48">
        <f>103380.46-19355-60530.17-16575</f>
        <v>6920.2900000000081</v>
      </c>
      <c r="DG9" s="48">
        <f>91409.49-17515-53484.25-14875</f>
        <v>5535.2400000000052</v>
      </c>
      <c r="DX9" s="1" t="s">
        <v>37</v>
      </c>
    </row>
    <row r="10" spans="1:128" x14ac:dyDescent="0.25">
      <c r="A10" s="75" t="s">
        <v>38</v>
      </c>
      <c r="D10" s="1" t="s">
        <v>39</v>
      </c>
      <c r="E10" s="26">
        <f>(165901-74055-20000-46731)/12*12</f>
        <v>25115</v>
      </c>
      <c r="F10" s="26">
        <f>(165901-74055-20000-46731)/12*11</f>
        <v>23022.083333333332</v>
      </c>
      <c r="G10" s="26">
        <f>(165901-74055-20000-46731)/12*10</f>
        <v>20929.166666666664</v>
      </c>
      <c r="H10" s="26">
        <f>(165901-74055-20000-46731)/12*9</f>
        <v>18836.25</v>
      </c>
      <c r="I10" s="26">
        <f>(165901-74055-20000-46731)/12*8</f>
        <v>16743.333333333332</v>
      </c>
      <c r="J10" s="26">
        <f>(165901-74055-20000-46731)/12*7</f>
        <v>14650.416666666666</v>
      </c>
      <c r="K10" s="26">
        <f>(165901-74055-20000-46731)/12*6</f>
        <v>12557.5</v>
      </c>
      <c r="L10" s="26">
        <f>(165901-74055-20000-46731)/12*5</f>
        <v>10464.583333333332</v>
      </c>
      <c r="M10" s="26">
        <f>(165901-74055-20000-46731)/12*4</f>
        <v>8371.6666666666661</v>
      </c>
      <c r="N10" s="26">
        <f>(165901-74055-20000-46731)/12*3</f>
        <v>6278.75</v>
      </c>
      <c r="O10" s="26">
        <f>(165901-74055-20000-46731)/12*2</f>
        <v>4185.833333333333</v>
      </c>
      <c r="P10" s="26">
        <f>(165901-74055-20000-46731)/12*1</f>
        <v>2092.9166666666665</v>
      </c>
      <c r="Q10" s="93">
        <f>(165901-74055-20000-46731)/12*12</f>
        <v>25115</v>
      </c>
      <c r="R10" s="50">
        <f>(165901-74055-20000-46731)/12*11</f>
        <v>23022.083333333332</v>
      </c>
      <c r="S10" s="50">
        <f>(165901-74055-20000-46731)/12*10</f>
        <v>20929.166666666664</v>
      </c>
      <c r="T10" s="50">
        <f>(165901-74055-20000-46731)/12*9</f>
        <v>18836.25</v>
      </c>
      <c r="U10" s="50">
        <f>(165901-74055-20000-46731)/12*8</f>
        <v>16743.333333333332</v>
      </c>
      <c r="V10" s="50">
        <f>(165901-74055-20000-46731)/12*7</f>
        <v>14650.416666666666</v>
      </c>
      <c r="W10" s="50">
        <f>(165901-74055-20000-46731)/12*6</f>
        <v>12557.5</v>
      </c>
      <c r="X10" s="50">
        <f>(165901-74055-20000-46731)/12*5</f>
        <v>10464.583333333332</v>
      </c>
      <c r="Y10" s="50">
        <f>(165901-74055-20000-46731)/12*4</f>
        <v>8371.6666666666661</v>
      </c>
      <c r="Z10" s="50">
        <f>(165901-74055-20000-46731)/12*3</f>
        <v>6278.75</v>
      </c>
      <c r="AA10" s="50">
        <f>(165901-74055-20000-46731)/12*2</f>
        <v>4185.833333333333</v>
      </c>
      <c r="AB10" s="50">
        <f>(165901-74055-20000-46731)/12*1</f>
        <v>2092.9166666666665</v>
      </c>
      <c r="AC10" s="50">
        <f>(165901-74055-20000-46731)/12*12</f>
        <v>25115</v>
      </c>
      <c r="AD10" s="50">
        <f>(165901-74055-20000-46731)/12*11</f>
        <v>23022.083333333332</v>
      </c>
      <c r="AE10" s="50">
        <f>(165901-74055-20000-46731)/12*10</f>
        <v>20929.166666666664</v>
      </c>
      <c r="AF10" s="50">
        <f>(165901-74055-20000-46731)/12*9</f>
        <v>18836.25</v>
      </c>
      <c r="AG10" s="50">
        <f>(165901-74055-20000-46731)/12*8</f>
        <v>16743.333333333332</v>
      </c>
      <c r="AH10" s="50">
        <f>(165901-74055-20000-46731)/12*7</f>
        <v>14650.416666666666</v>
      </c>
      <c r="AI10" s="50">
        <f>(165901-74055-20000-46731)/12*6</f>
        <v>12557.5</v>
      </c>
      <c r="AJ10" s="50">
        <f>(165901-74055-20000-46731)/12*5</f>
        <v>10464.583333333332</v>
      </c>
      <c r="AK10" s="50">
        <f>(165901-74055-20000-46731)/12*4</f>
        <v>8371.6666666666661</v>
      </c>
      <c r="AL10" s="50">
        <f>(165901-74055-20000-46731)/12*3</f>
        <v>6278.75</v>
      </c>
      <c r="AM10" s="50">
        <f>(165901-74055-20000-46731)/12*2</f>
        <v>4185.833333333333</v>
      </c>
      <c r="AN10" s="50">
        <f>(165901-74055-20000-46731)/12*1</f>
        <v>2092.9166666666665</v>
      </c>
      <c r="AO10" s="50">
        <f>(165901-74055-20000-46731)/12*12</f>
        <v>25115</v>
      </c>
      <c r="AP10" s="50">
        <f>(165901-74055-20000-46731)/12*11</f>
        <v>23022.083333333332</v>
      </c>
      <c r="AQ10" s="50">
        <f>(165901-74055-20000-46731)/12*10</f>
        <v>20929.166666666664</v>
      </c>
      <c r="AR10" s="50">
        <f>(165901-74055-20000-46731)/12*9</f>
        <v>18836.25</v>
      </c>
      <c r="AS10" s="50">
        <f>(165901-74055-20000-46731)/12*8</f>
        <v>16743.333333333332</v>
      </c>
      <c r="AT10" s="50">
        <f>(165901-74055-20000-46731)/12*7</f>
        <v>14650.416666666666</v>
      </c>
      <c r="AU10" s="50">
        <f>(165901-74055-20000-46731)/12*6</f>
        <v>12557.5</v>
      </c>
      <c r="AV10" s="50">
        <f>(165901-74055-20000-46731)/12*5</f>
        <v>10464.583333333332</v>
      </c>
      <c r="AW10" s="50">
        <f>(165901-74055-20000-46731)/12*4</f>
        <v>8371.6666666666661</v>
      </c>
      <c r="AX10" s="50">
        <f>(165901-74055-20000-46731)/12*3</f>
        <v>6278.75</v>
      </c>
      <c r="AY10" s="50">
        <f>(165901-74055-20000-46731)/12*2</f>
        <v>4185.833333333333</v>
      </c>
      <c r="AZ10" s="50">
        <f>(165901-74055-20000-46731)/12*1</f>
        <v>2092.9166666666665</v>
      </c>
      <c r="BA10" s="50">
        <f>(165901-74055-20000-46731)/12*12</f>
        <v>25115</v>
      </c>
      <c r="BB10" s="50">
        <f>(165901-74055-20000-46731)/12*11</f>
        <v>23022.083333333332</v>
      </c>
      <c r="BC10" s="50">
        <f>(165901-74055-20000-46731)/12*10</f>
        <v>20929.166666666664</v>
      </c>
      <c r="BD10" s="50">
        <f>(165901-74055-20000-46731)/12*9</f>
        <v>18836.25</v>
      </c>
      <c r="BE10" s="50">
        <f>(165901-74055-20000-46731)/12*8</f>
        <v>16743.333333333332</v>
      </c>
      <c r="BF10" s="26">
        <f>(165901-74055-20000-46731)/12*7</f>
        <v>14650.416666666666</v>
      </c>
      <c r="BG10" s="26">
        <f>(165901-74055-20000-46731)/12*6</f>
        <v>12557.5</v>
      </c>
      <c r="BH10" s="26">
        <f>(165901-74055-20000-46731)/12*5</f>
        <v>10464.583333333332</v>
      </c>
      <c r="BI10" s="52">
        <f>(165901-74055-20000-46731)/12*4</f>
        <v>8371.6666666666661</v>
      </c>
      <c r="BJ10" s="26">
        <f>(165901-74055-20000-46731)/12*3</f>
        <v>6278.75</v>
      </c>
      <c r="BK10" s="26">
        <f>(165901-74055-20000-46731)/12*2</f>
        <v>4185.833333333333</v>
      </c>
      <c r="BL10" s="26">
        <f>(165901-74055-20000-46731)/12*1</f>
        <v>2092.9166666666665</v>
      </c>
      <c r="BM10" s="26">
        <f>(173742-84165-20000-44486)/12*12</f>
        <v>25091</v>
      </c>
      <c r="BN10" s="26">
        <f>(173742-84165-20000-44486)/12*11</f>
        <v>23000.083333333332</v>
      </c>
      <c r="BO10" s="26">
        <f>(173742-84165-20000-44486)/12*10</f>
        <v>20909.166666666664</v>
      </c>
      <c r="BP10" s="26">
        <f>(173742-84165-20000-44486)/12*9</f>
        <v>18818.25</v>
      </c>
      <c r="BQ10" s="26">
        <f>(173742-84165-20000-44486)/12*8</f>
        <v>16727.333333333332</v>
      </c>
      <c r="BR10" s="26">
        <f>(173742-84165-20000-44486)/12*7</f>
        <v>14636.416666666666</v>
      </c>
      <c r="BS10" s="26">
        <f>(173742-84165-20000-44486)/12*6</f>
        <v>12545.5</v>
      </c>
      <c r="BT10" s="26">
        <f>(173742-84165-20000-44486)/12*5</f>
        <v>10454.583333333332</v>
      </c>
      <c r="BU10" s="26">
        <f>(173742-84165-20000-44486)/12*4</f>
        <v>8363.6666666666661</v>
      </c>
      <c r="BV10" s="26">
        <f>(173742-84165-20000-44486)/12*3</f>
        <v>6272.75</v>
      </c>
      <c r="BW10" s="26">
        <f>(173742-84165-20000-44486)/12*2</f>
        <v>4181.833333333333</v>
      </c>
      <c r="BX10" s="26">
        <f>(173742-84165-20000-44486)/12*1</f>
        <v>2090.9166666666665</v>
      </c>
      <c r="BY10" s="26">
        <f>(161708-73902-42162-20000)/12*12</f>
        <v>25644</v>
      </c>
      <c r="BZ10" s="26">
        <f>(161708-73902-42162-20000)/12*11</f>
        <v>23507</v>
      </c>
      <c r="CA10" s="26">
        <f>(161708-73902-42162-20000)/12*10</f>
        <v>21370</v>
      </c>
      <c r="CB10" s="26">
        <f>(161708-73902-42162-20000)/12*9</f>
        <v>19233</v>
      </c>
      <c r="CC10" s="26">
        <f>(161708-73902-42162-20000)/12*8</f>
        <v>17096</v>
      </c>
      <c r="CD10" s="26">
        <f>(161708-73902-42162-20000)/12*7</f>
        <v>14959</v>
      </c>
      <c r="CE10" s="26">
        <f>(161708-73902-42162-20000)/12*6</f>
        <v>12822</v>
      </c>
      <c r="CF10" s="26">
        <f>(161708-73902-42162-20000)/12*5</f>
        <v>10685</v>
      </c>
      <c r="CG10" s="26">
        <f>(161708-73902-42162-20000)/12*4</f>
        <v>8548</v>
      </c>
      <c r="CH10" s="26">
        <f>(161708-73902-42162-20000)/12*3</f>
        <v>6411</v>
      </c>
      <c r="CI10" s="26">
        <f>(161708-73902-42162-20000)/12*2</f>
        <v>4274</v>
      </c>
      <c r="CJ10" s="26">
        <f>(161708-73902-42162-20000)/12*1</f>
        <v>2137</v>
      </c>
      <c r="CK10" s="53">
        <f>(174743-45101-78942-20000)/12*12</f>
        <v>30700</v>
      </c>
      <c r="CL10" s="53">
        <f>(174743-45101-78942-20000)/12*11</f>
        <v>28141.666666666668</v>
      </c>
      <c r="CM10" s="53">
        <f>(174743-45101-78942-20000)/12*10</f>
        <v>25583.333333333336</v>
      </c>
      <c r="CN10" s="53">
        <f>(174743-45101-78942-20000)/12*9</f>
        <v>23025</v>
      </c>
      <c r="CO10" s="53">
        <f>(174743-45101-78942-20000)/12*8</f>
        <v>20466.666666666668</v>
      </c>
      <c r="CP10" s="48">
        <f>(174743-45101-78942-20000)/12*7</f>
        <v>17908.333333333336</v>
      </c>
      <c r="CQ10" s="48">
        <f>(174743-45101-78942-20000)/12*6</f>
        <v>15350</v>
      </c>
      <c r="CR10" s="48">
        <f>(174743-45101-78942-20000)/12*5</f>
        <v>12791.666666666668</v>
      </c>
      <c r="CS10" s="48">
        <f>(174743-45101-78942-20000)/12*4</f>
        <v>10233.333333333334</v>
      </c>
      <c r="CT10" s="48">
        <f>(174743-45101-78942-20000)/12*3</f>
        <v>7675</v>
      </c>
      <c r="CU10" s="48">
        <f>(174743-45101-78942-20000)/12*2</f>
        <v>5116.666666666667</v>
      </c>
      <c r="CV10" s="48">
        <f>(174743-45101-78942-20000)/12</f>
        <v>2558.3333333333335</v>
      </c>
      <c r="CW10" s="48">
        <f>(58217-18000)/12*11</f>
        <v>36865.583333333328</v>
      </c>
      <c r="CX10" s="48">
        <f>(58217-18000)/12*10</f>
        <v>33514.166666666664</v>
      </c>
      <c r="CY10" s="48">
        <f>(58217-18000)/12*9</f>
        <v>30162.75</v>
      </c>
      <c r="CZ10" s="48">
        <f>(58217-18000)/12*8</f>
        <v>26811.333333333332</v>
      </c>
      <c r="DA10" s="48">
        <f>(58217-18000)/12*7</f>
        <v>23459.916666666664</v>
      </c>
      <c r="DB10" s="48">
        <f>(58217-18000)/12*6</f>
        <v>20108.5</v>
      </c>
      <c r="DC10" s="48">
        <f>(58217-18000)/12*5</f>
        <v>16757.083333333332</v>
      </c>
      <c r="DD10" s="48">
        <f>(58217-18000)/12*4</f>
        <v>13405.666666666666</v>
      </c>
      <c r="DE10" s="48">
        <f>(58217-18000)/12*3</f>
        <v>10054.25</v>
      </c>
      <c r="DF10" s="48">
        <f>(58217-18000)/12*2</f>
        <v>6702.833333333333</v>
      </c>
      <c r="DG10" s="48">
        <f>(58217-18000)/12</f>
        <v>3351.4166666666665</v>
      </c>
    </row>
    <row r="11" spans="1:128" x14ac:dyDescent="0.25">
      <c r="D11" s="1" t="s">
        <v>40</v>
      </c>
      <c r="E11" s="24">
        <f t="shared" ref="E11:F11" si="22">+E9-E10</f>
        <v>3953.1200000000099</v>
      </c>
      <c r="F11" s="24">
        <f t="shared" si="22"/>
        <v>4210.0966666666609</v>
      </c>
      <c r="G11" s="24">
        <f t="shared" ref="G11:H11" si="23">+G9-G10</f>
        <v>5827.433333333327</v>
      </c>
      <c r="H11" s="24">
        <f t="shared" si="23"/>
        <v>2739.0099999999948</v>
      </c>
      <c r="I11" s="24">
        <f t="shared" ref="I11:J11" si="24">+I9-I10</f>
        <v>1276.1866666666865</v>
      </c>
      <c r="J11" s="24">
        <f t="shared" si="24"/>
        <v>-1217.1466666666765</v>
      </c>
      <c r="K11" s="24">
        <f t="shared" ref="K11:L11" si="25">+K9-K10</f>
        <v>-1489.7000000000044</v>
      </c>
      <c r="L11" s="24">
        <f t="shared" si="25"/>
        <v>-107.1033333333362</v>
      </c>
      <c r="M11" s="24">
        <f t="shared" ref="M11:N11" si="26">+M9-M10</f>
        <v>6649.843333333336</v>
      </c>
      <c r="N11" s="24">
        <f t="shared" si="26"/>
        <v>1698.1699999999983</v>
      </c>
      <c r="O11" s="24">
        <f t="shared" ref="O11:P11" si="27">+O9-O10</f>
        <v>1051.666666666667</v>
      </c>
      <c r="P11" s="24">
        <f t="shared" si="27"/>
        <v>1259.9133333333352</v>
      </c>
      <c r="Q11" s="91">
        <f t="shared" ref="Q11:CB11" si="28">+Q9-Q10</f>
        <v>11062.639999999985</v>
      </c>
      <c r="R11" s="83">
        <f t="shared" si="28"/>
        <v>9965.5466666666725</v>
      </c>
      <c r="S11" s="83">
        <f t="shared" si="28"/>
        <v>10368.513333333329</v>
      </c>
      <c r="T11" s="83">
        <f t="shared" si="28"/>
        <v>6641.8499999999985</v>
      </c>
      <c r="U11" s="83">
        <f t="shared" si="28"/>
        <v>433.6666666666606</v>
      </c>
      <c r="V11" s="24">
        <f t="shared" si="28"/>
        <v>530.53333333333103</v>
      </c>
      <c r="W11" s="83">
        <f t="shared" si="28"/>
        <v>1134.7999999999956</v>
      </c>
      <c r="X11" s="83">
        <f t="shared" si="28"/>
        <v>1254.5366666666778</v>
      </c>
      <c r="Y11" s="83">
        <f t="shared" si="28"/>
        <v>1303.7333333333354</v>
      </c>
      <c r="Z11" s="24">
        <f t="shared" si="28"/>
        <v>1652.1599999999962</v>
      </c>
      <c r="AA11" s="24">
        <f t="shared" si="28"/>
        <v>290.93666666667104</v>
      </c>
      <c r="AB11" s="24">
        <f t="shared" si="28"/>
        <v>533.51333333333378</v>
      </c>
      <c r="AC11" s="24">
        <f t="shared" si="28"/>
        <v>2104.1699999999837</v>
      </c>
      <c r="AD11" s="24">
        <f t="shared" si="28"/>
        <v>2909.386666666669</v>
      </c>
      <c r="AE11" s="24">
        <f t="shared" si="28"/>
        <v>4125.7033333333311</v>
      </c>
      <c r="AF11" s="24">
        <f t="shared" si="28"/>
        <v>3922.5999999999913</v>
      </c>
      <c r="AG11" s="24">
        <f t="shared" si="28"/>
        <v>2469.7966666666725</v>
      </c>
      <c r="AH11" s="24">
        <f t="shared" si="28"/>
        <v>2549.533333333331</v>
      </c>
      <c r="AI11" s="24">
        <f t="shared" si="28"/>
        <v>2489.7799999999988</v>
      </c>
      <c r="AJ11" s="24">
        <f t="shared" si="28"/>
        <v>2776.9066666666731</v>
      </c>
      <c r="AK11" s="24">
        <f t="shared" si="28"/>
        <v>3250.9933333333374</v>
      </c>
      <c r="AL11" s="24">
        <f t="shared" si="28"/>
        <v>1917.6399999999994</v>
      </c>
      <c r="AM11" s="24">
        <f t="shared" si="28"/>
        <v>1960.6266666666661</v>
      </c>
      <c r="AN11" s="24">
        <f t="shared" si="28"/>
        <v>1142.7233333333329</v>
      </c>
      <c r="AO11" s="24">
        <f t="shared" si="28"/>
        <v>15214.009999999995</v>
      </c>
      <c r="AP11" s="24">
        <f t="shared" si="28"/>
        <v>13936.536666666678</v>
      </c>
      <c r="AQ11" s="24">
        <f t="shared" si="28"/>
        <v>13491.373333333344</v>
      </c>
      <c r="AR11" s="24">
        <f t="shared" si="28"/>
        <v>7558.2200000000012</v>
      </c>
      <c r="AS11" s="24">
        <f t="shared" si="28"/>
        <v>4022.8966666666638</v>
      </c>
      <c r="AT11" s="24">
        <f t="shared" si="28"/>
        <v>2704.2133333333386</v>
      </c>
      <c r="AU11" s="24">
        <f t="shared" si="28"/>
        <v>2425.2400000000052</v>
      </c>
      <c r="AV11" s="24">
        <f t="shared" si="28"/>
        <v>2593.4966666666696</v>
      </c>
      <c r="AW11" s="24">
        <f t="shared" si="28"/>
        <v>1434.7233333333334</v>
      </c>
      <c r="AX11" s="24">
        <f t="shared" si="28"/>
        <v>2144.0099999999948</v>
      </c>
      <c r="AY11" s="24">
        <f t="shared" si="28"/>
        <v>-29.53333333333012</v>
      </c>
      <c r="AZ11" s="24">
        <f t="shared" si="28"/>
        <v>-310.93666666667059</v>
      </c>
      <c r="BA11" s="24">
        <f t="shared" si="28"/>
        <v>8917.86</v>
      </c>
      <c r="BB11" s="24">
        <f t="shared" si="28"/>
        <v>7655.5566666666673</v>
      </c>
      <c r="BC11" s="24">
        <f t="shared" si="28"/>
        <v>7795.0633333333317</v>
      </c>
      <c r="BD11" s="24">
        <f t="shared" si="28"/>
        <v>4085.5</v>
      </c>
      <c r="BE11" s="24">
        <f t="shared" si="28"/>
        <v>738.5566666666673</v>
      </c>
      <c r="BF11" s="42">
        <f t="shared" si="28"/>
        <v>-1999.3066666666655</v>
      </c>
      <c r="BG11" s="24">
        <f t="shared" si="28"/>
        <v>-2123.2799999999988</v>
      </c>
      <c r="BH11" s="24">
        <f t="shared" si="28"/>
        <v>-1611.043333333324</v>
      </c>
      <c r="BI11" s="43">
        <f t="shared" si="28"/>
        <v>-1377.5766666666696</v>
      </c>
      <c r="BJ11" s="24">
        <f t="shared" si="28"/>
        <v>-837.05999999999767</v>
      </c>
      <c r="BK11" s="24">
        <f t="shared" si="28"/>
        <v>-493.42333333332954</v>
      </c>
      <c r="BL11" s="24">
        <f t="shared" si="28"/>
        <v>828.43333333333931</v>
      </c>
      <c r="BM11" s="24">
        <f t="shared" si="28"/>
        <v>-6076.7799999999843</v>
      </c>
      <c r="BN11" s="24">
        <f t="shared" si="28"/>
        <v>-4743.7233333333315</v>
      </c>
      <c r="BO11" s="24">
        <f t="shared" si="28"/>
        <v>-4310.1966666666485</v>
      </c>
      <c r="BP11" s="24">
        <f t="shared" si="28"/>
        <v>-3782.3300000000017</v>
      </c>
      <c r="BQ11" s="24">
        <f t="shared" si="28"/>
        <v>-3194.4333333333234</v>
      </c>
      <c r="BR11" s="24">
        <f t="shared" si="28"/>
        <v>-2824.8566666666684</v>
      </c>
      <c r="BS11" s="24">
        <f t="shared" si="28"/>
        <v>-2084.0299999999988</v>
      </c>
      <c r="BT11" s="24">
        <f t="shared" si="28"/>
        <v>-1532.0733333333374</v>
      </c>
      <c r="BU11" s="24">
        <f t="shared" si="28"/>
        <v>-394.35666666666839</v>
      </c>
      <c r="BV11" s="24">
        <f t="shared" si="28"/>
        <v>-144.92999999999302</v>
      </c>
      <c r="BW11" s="24">
        <f t="shared" si="28"/>
        <v>149.16666666666697</v>
      </c>
      <c r="BX11" s="24">
        <f t="shared" si="28"/>
        <v>-249.91666666666652</v>
      </c>
      <c r="BY11" s="24">
        <f t="shared" si="28"/>
        <v>1650.5799999999872</v>
      </c>
      <c r="BZ11" s="24">
        <f t="shared" si="28"/>
        <v>2186.3099999999977</v>
      </c>
      <c r="CA11" s="24">
        <f t="shared" si="28"/>
        <v>2757.7099999999919</v>
      </c>
      <c r="CB11" s="24">
        <f t="shared" si="28"/>
        <v>1371.3999999999942</v>
      </c>
      <c r="CC11" s="24">
        <f t="shared" ref="CC11:DG11" si="29">+CC9-CC10</f>
        <v>-102.64000000001397</v>
      </c>
      <c r="CD11" s="24">
        <f t="shared" si="29"/>
        <v>438.17999999999302</v>
      </c>
      <c r="CE11" s="24">
        <f t="shared" si="29"/>
        <v>622.76999999998952</v>
      </c>
      <c r="CF11" s="24">
        <f t="shared" si="29"/>
        <v>1416.7799999999988</v>
      </c>
      <c r="CG11" s="24">
        <f t="shared" si="29"/>
        <v>461.44999999999709</v>
      </c>
      <c r="CH11" s="24">
        <f t="shared" si="29"/>
        <v>79.070000000006985</v>
      </c>
      <c r="CI11" s="24">
        <f t="shared" si="29"/>
        <v>-56.330000000001746</v>
      </c>
      <c r="CJ11" s="24">
        <f t="shared" si="29"/>
        <v>637.62000000000262</v>
      </c>
      <c r="CK11" s="24">
        <f t="shared" si="29"/>
        <v>772.04000000000087</v>
      </c>
      <c r="CL11" s="24">
        <f t="shared" si="29"/>
        <v>2169.4733333333315</v>
      </c>
      <c r="CM11" s="24">
        <f t="shared" si="29"/>
        <v>2974.0366666666632</v>
      </c>
      <c r="CN11" s="24">
        <f t="shared" si="29"/>
        <v>4078.5600000000013</v>
      </c>
      <c r="CO11" s="24">
        <f t="shared" si="29"/>
        <v>4163.1333333333314</v>
      </c>
      <c r="CP11" s="24">
        <f t="shared" si="29"/>
        <v>5096.7166666666672</v>
      </c>
      <c r="CQ11" s="24">
        <f t="shared" si="29"/>
        <v>5572.1100000000006</v>
      </c>
      <c r="CR11" s="24">
        <f t="shared" si="29"/>
        <v>4537.0433333333385</v>
      </c>
      <c r="CS11" s="24">
        <f t="shared" si="29"/>
        <v>5214.4966666666605</v>
      </c>
      <c r="CT11" s="24">
        <f t="shared" si="29"/>
        <v>5795.2799999999988</v>
      </c>
      <c r="CU11" s="24">
        <f t="shared" si="29"/>
        <v>3265.7533333333386</v>
      </c>
      <c r="CV11" s="24">
        <f t="shared" si="29"/>
        <v>3030.5166666666651</v>
      </c>
      <c r="CW11" s="24">
        <f t="shared" si="29"/>
        <v>3975.2666666666773</v>
      </c>
      <c r="CX11" s="24">
        <f t="shared" si="29"/>
        <v>593.93333333334158</v>
      </c>
      <c r="CY11" s="24">
        <f t="shared" si="29"/>
        <v>-6790.320000000007</v>
      </c>
      <c r="CZ11" s="24">
        <f t="shared" si="29"/>
        <v>-5462.6533333333391</v>
      </c>
      <c r="DA11" s="24">
        <f t="shared" si="29"/>
        <v>-3953.9166666666642</v>
      </c>
      <c r="DB11" s="24">
        <f t="shared" si="29"/>
        <v>-2083.2600000000093</v>
      </c>
      <c r="DC11" s="24">
        <f t="shared" si="29"/>
        <v>-1282.0033333333449</v>
      </c>
      <c r="DD11" s="24">
        <f t="shared" si="29"/>
        <v>961.24333333333743</v>
      </c>
      <c r="DE11" s="24">
        <f t="shared" si="29"/>
        <v>1101.3700000000099</v>
      </c>
      <c r="DF11" s="24">
        <f t="shared" si="29"/>
        <v>217.45666666667512</v>
      </c>
      <c r="DG11" s="24">
        <f t="shared" si="29"/>
        <v>2183.8233333333387</v>
      </c>
    </row>
    <row r="12" spans="1:128" x14ac:dyDescent="0.25"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89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7"/>
      <c r="AU12" s="17"/>
      <c r="AV12" s="17"/>
      <c r="AW12" s="17"/>
      <c r="AX12" s="15"/>
      <c r="AY12" s="17"/>
      <c r="AZ12" s="17"/>
      <c r="BA12" s="17"/>
      <c r="BB12" s="17"/>
      <c r="BC12" s="17"/>
      <c r="BD12" s="14"/>
      <c r="BE12" s="16"/>
      <c r="BF12" s="1"/>
      <c r="BG12" s="1"/>
      <c r="BI12" s="37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</row>
    <row r="13" spans="1:128" x14ac:dyDescent="0.25">
      <c r="A13" s="75" t="s">
        <v>41</v>
      </c>
      <c r="D13" s="1" t="s">
        <v>42</v>
      </c>
      <c r="E13" s="26">
        <f>177043.31-25860.08</f>
        <v>151183.22999999998</v>
      </c>
      <c r="F13" s="26">
        <f>159031.94-25409</f>
        <v>133622.94</v>
      </c>
      <c r="G13" s="26">
        <f>148752-25247.7</f>
        <v>123504.3</v>
      </c>
      <c r="H13" s="26">
        <f>136524.48-25247.7</f>
        <v>111276.78000000001</v>
      </c>
      <c r="I13" s="26">
        <f>114795.7-15970.94</f>
        <v>98824.76</v>
      </c>
      <c r="J13" s="26">
        <f>104448.75-15970.94</f>
        <v>88477.81</v>
      </c>
      <c r="K13" s="26">
        <f>90318.42-15442.46</f>
        <v>74875.959999999992</v>
      </c>
      <c r="L13" s="26">
        <f>65433.75-3453.52</f>
        <v>61980.23</v>
      </c>
      <c r="M13" s="26">
        <f>55126.57-2712.42</f>
        <v>52414.15</v>
      </c>
      <c r="N13" s="26">
        <f>42205.84-2403.93</f>
        <v>39801.909999999996</v>
      </c>
      <c r="O13" s="26">
        <f>28246.9-818.93</f>
        <v>27427.97</v>
      </c>
      <c r="P13" s="26">
        <f>17722.96-818.93</f>
        <v>16904.03</v>
      </c>
      <c r="Q13" s="93">
        <f>146026.84-2342.67</f>
        <v>143684.16999999998</v>
      </c>
      <c r="R13" s="50">
        <f>133028.4-1931.93</f>
        <v>131096.47</v>
      </c>
      <c r="S13" s="50">
        <f>121682.06-1834.02</f>
        <v>119848.04</v>
      </c>
      <c r="T13" s="50">
        <f>109772.24-1834.02</f>
        <v>107938.22</v>
      </c>
      <c r="U13" s="50">
        <f>97808.42-1834.02</f>
        <v>95974.399999999994</v>
      </c>
      <c r="V13" s="50">
        <f>86605.59-1834.02</f>
        <v>84771.569999999992</v>
      </c>
      <c r="W13" s="50">
        <f>74280.25-1834.02</f>
        <v>72446.23</v>
      </c>
      <c r="X13" s="50">
        <f>61674.61-1834.02</f>
        <v>59840.590000000004</v>
      </c>
      <c r="Y13" s="50">
        <f>48701.98-484.02</f>
        <v>48217.960000000006</v>
      </c>
      <c r="Z13" s="50">
        <f>38559.67-209.8</f>
        <v>38349.869999999995</v>
      </c>
      <c r="AA13" s="50">
        <f>25904.21-55.23</f>
        <v>25848.98</v>
      </c>
      <c r="AB13" s="50">
        <f>15361.95-55.23</f>
        <v>15306.720000000001</v>
      </c>
      <c r="AC13" s="50">
        <f>135917.55-2608.16</f>
        <v>133309.38999999998</v>
      </c>
      <c r="AD13" s="50">
        <f>121770.16-2603.07</f>
        <v>119167.09</v>
      </c>
      <c r="AE13" s="50">
        <f>111226.59-2445.28</f>
        <v>108781.31</v>
      </c>
      <c r="AF13" s="50">
        <f>101959.45-2436.03</f>
        <v>99523.42</v>
      </c>
      <c r="AG13" s="50">
        <f>92882.53-2436.03</f>
        <v>90446.5</v>
      </c>
      <c r="AH13" s="50">
        <f>82875.44-2436.03</f>
        <v>80439.41</v>
      </c>
      <c r="AI13" s="50">
        <f>71908.83-2436.03</f>
        <v>69472.800000000003</v>
      </c>
      <c r="AJ13" s="50">
        <f>57597.1-2436.03</f>
        <v>55161.07</v>
      </c>
      <c r="AK13" s="50">
        <f>46692.66-705.85</f>
        <v>45986.810000000005</v>
      </c>
      <c r="AL13" s="50">
        <f>35614.51-366.52</f>
        <v>35247.990000000005</v>
      </c>
      <c r="AM13" s="50">
        <f>22673.85-220.91</f>
        <v>22452.94</v>
      </c>
      <c r="AN13" s="50">
        <f>12879.58-220.91</f>
        <v>12658.67</v>
      </c>
      <c r="AO13" s="50">
        <f>131454.02-874.11</f>
        <v>130579.90999999999</v>
      </c>
      <c r="AP13" s="50">
        <f>114923.15-863.93</f>
        <v>114059.22</v>
      </c>
      <c r="AQ13" s="50">
        <f>105638.28-763.26</f>
        <v>104875.02</v>
      </c>
      <c r="AR13" s="50">
        <f>96459.87-635.3</f>
        <v>95824.569999999992</v>
      </c>
      <c r="AS13" s="50">
        <f>84954.66-635.3</f>
        <v>84319.360000000001</v>
      </c>
      <c r="AT13" s="50">
        <f>74219.02-635.3</f>
        <v>73583.72</v>
      </c>
      <c r="AU13" s="50">
        <f>65001.11-635.3</f>
        <v>64365.81</v>
      </c>
      <c r="AV13" s="50">
        <f>53309.84-635.3</f>
        <v>52674.539999999994</v>
      </c>
      <c r="AW13" s="50">
        <f>43246.5-333.8</f>
        <v>42912.7</v>
      </c>
      <c r="AX13" s="50">
        <f>35416.66-20.12</f>
        <v>35396.54</v>
      </c>
      <c r="AY13" s="50">
        <f>22229.83-0</f>
        <v>22229.83</v>
      </c>
      <c r="AZ13" s="50">
        <f>12564.2-0</f>
        <v>12564.2</v>
      </c>
      <c r="BA13" s="50">
        <f>123238.69-1297.46</f>
        <v>121941.23</v>
      </c>
      <c r="BB13" s="50">
        <f>111121.5-978.17</f>
        <v>110143.33</v>
      </c>
      <c r="BC13" s="50">
        <f>100976.77-959.48</f>
        <v>100017.29000000001</v>
      </c>
      <c r="BD13" s="50">
        <f>90910.31-936.27</f>
        <v>89974.04</v>
      </c>
      <c r="BE13" s="50">
        <f>78947.58-936.27</f>
        <v>78011.31</v>
      </c>
      <c r="BF13" s="26">
        <f>70294.56-936.27</f>
        <v>69358.289999999994</v>
      </c>
      <c r="BG13" s="26">
        <f>(58593.37-936.27)</f>
        <v>57657.100000000006</v>
      </c>
      <c r="BH13" s="26">
        <f>(48997.75-873.18)</f>
        <v>48124.57</v>
      </c>
      <c r="BI13" s="52">
        <f>(40021.33-869.18)</f>
        <v>39152.15</v>
      </c>
      <c r="BJ13" s="26">
        <f>(30611.09-697.96)</f>
        <v>29913.13</v>
      </c>
      <c r="BK13" s="26">
        <f>(20217.68-697.96)</f>
        <v>19519.72</v>
      </c>
      <c r="BL13" s="26">
        <f>(11012.82-697.96)</f>
        <v>10314.86</v>
      </c>
      <c r="BM13" s="26">
        <f>(150305.91-28054.87)</f>
        <v>122251.04000000001</v>
      </c>
      <c r="BN13" s="26">
        <f>(138221.17-28054.87)</f>
        <v>110166.30000000002</v>
      </c>
      <c r="BO13" s="26">
        <f>(128034.77-28054.87)</f>
        <v>99979.900000000009</v>
      </c>
      <c r="BP13" s="26">
        <f>(118919.15-28054.87)</f>
        <v>90864.28</v>
      </c>
      <c r="BQ13" s="26">
        <f>(108842.82-28054.87)</f>
        <v>80787.950000000012</v>
      </c>
      <c r="BR13" s="26">
        <f>(99979.98-28054.87)</f>
        <v>71925.11</v>
      </c>
      <c r="BS13" s="26">
        <f>(86616.98-28054.87)</f>
        <v>58562.11</v>
      </c>
      <c r="BT13" s="26">
        <f>(77238.59-27981.04)</f>
        <v>49257.549999999996</v>
      </c>
      <c r="BU13" s="26">
        <f>(51279.97-11709.7)</f>
        <v>39570.270000000004</v>
      </c>
      <c r="BV13" s="26">
        <f>(30585.44-1135.78)</f>
        <v>29449.66</v>
      </c>
      <c r="BW13" s="26">
        <f>(21028.39-150)</f>
        <v>20878.39</v>
      </c>
      <c r="BX13" s="9">
        <v>11098.15</v>
      </c>
      <c r="BY13" s="26">
        <f>(135067.49-23755.84)</f>
        <v>111311.65</v>
      </c>
      <c r="BZ13" s="26">
        <f>(125182.71-23755.84)</f>
        <v>101426.87000000001</v>
      </c>
      <c r="CA13" s="26">
        <f>(116596.59-23755.84)</f>
        <v>92840.75</v>
      </c>
      <c r="CB13" s="26">
        <f>(106649.09-23755.84)</f>
        <v>82893.25</v>
      </c>
      <c r="CC13" s="26">
        <f>(96846.84-23755.84)</f>
        <v>73091</v>
      </c>
      <c r="CD13" s="26">
        <f>(88425.34-23755.84)</f>
        <v>64669.5</v>
      </c>
      <c r="CE13" s="26">
        <f>(77233.86-23755.84)</f>
        <v>53478.020000000004</v>
      </c>
      <c r="CF13" s="26">
        <f>(53834.91-8057.02)</f>
        <v>45777.89</v>
      </c>
      <c r="CG13" s="26">
        <f>(44391.49-7344.94)</f>
        <v>37046.549999999996</v>
      </c>
      <c r="CH13" s="26">
        <f>(27338.65-1526.32)</f>
        <v>25812.33</v>
      </c>
      <c r="CI13" s="26">
        <f>(19258.71-1288.57)</f>
        <v>17970.14</v>
      </c>
      <c r="CJ13" s="26">
        <f>(10649.99-506.65)</f>
        <v>10143.34</v>
      </c>
      <c r="CK13" s="10">
        <v>115540.4</v>
      </c>
      <c r="CL13" s="10">
        <v>104659.05</v>
      </c>
      <c r="CM13" s="10">
        <v>95877.11</v>
      </c>
      <c r="CN13" s="10">
        <v>86530.68</v>
      </c>
      <c r="CO13" s="10">
        <v>78335.34</v>
      </c>
      <c r="CP13" s="48">
        <f>98543.87-28573.11</f>
        <v>69970.759999999995</v>
      </c>
      <c r="CQ13" s="48">
        <f>68115.97-9005.62</f>
        <v>59110.35</v>
      </c>
      <c r="CR13" s="48">
        <f>51337.23-2013.16</f>
        <v>49324.07</v>
      </c>
      <c r="CS13" s="48">
        <f>41173.06-1105.92</f>
        <v>40067.14</v>
      </c>
      <c r="CT13" s="48">
        <f>31849.6-797.94</f>
        <v>31051.66</v>
      </c>
      <c r="CU13" s="48">
        <f>21770.23-197.94</f>
        <v>21572.29</v>
      </c>
      <c r="CV13" s="48">
        <f>13700.23-197.94</f>
        <v>13502.289999999999</v>
      </c>
      <c r="CW13" s="48">
        <f>141771.38-37905.51</f>
        <v>103865.87</v>
      </c>
      <c r="CX13" s="48">
        <f>131940.21-37617.8</f>
        <v>94322.409999999989</v>
      </c>
      <c r="CY13" s="48">
        <f>123167.82-36987</f>
        <v>86180.82</v>
      </c>
      <c r="CZ13" s="48">
        <f>115581.16-36987</f>
        <v>78594.16</v>
      </c>
      <c r="DA13" s="48">
        <f>100991.76-36987</f>
        <v>64004.759999999995</v>
      </c>
      <c r="DB13" s="48">
        <f>89873.8-35301.79</f>
        <v>54572.01</v>
      </c>
      <c r="DC13" s="48">
        <f>57686.79-10566.83</f>
        <v>47119.96</v>
      </c>
      <c r="DD13" s="48">
        <f>46573.23-7698.84</f>
        <v>38874.39</v>
      </c>
      <c r="DE13" s="48">
        <f>35702.89-6835.98</f>
        <v>28866.91</v>
      </c>
      <c r="DF13" s="48">
        <f>15509.91-392.48</f>
        <v>15117.43</v>
      </c>
      <c r="DG13" s="48">
        <f>9727.03-198.3</f>
        <v>9528.7300000000014</v>
      </c>
      <c r="DH13" s="48">
        <f>165283.61-55089.91</f>
        <v>110193.69999999998</v>
      </c>
      <c r="DI13" s="48">
        <f>154985.88-55089.91</f>
        <v>99895.97</v>
      </c>
      <c r="DJ13" s="48">
        <f>147908.73-55089.91</f>
        <v>92818.82</v>
      </c>
      <c r="DK13" s="48">
        <f>137385.94-53318.11</f>
        <v>84067.83</v>
      </c>
      <c r="DL13" s="48">
        <f>129017.7-53318.11</f>
        <v>75699.59</v>
      </c>
      <c r="DM13" s="48">
        <f>120422.8-53318.11</f>
        <v>67104.69</v>
      </c>
      <c r="DN13" s="48">
        <f>110494.93-53318.11</f>
        <v>57176.819999999992</v>
      </c>
      <c r="DO13" s="48">
        <f>102406.75-52731.61</f>
        <v>49675.14</v>
      </c>
      <c r="DP13" s="48">
        <f>56305.75-17474.25</f>
        <v>38831.5</v>
      </c>
      <c r="DQ13" s="48">
        <f>29627.71-1697.38</f>
        <v>27930.329999999998</v>
      </c>
      <c r="DR13" s="48">
        <f>19782.49-632.98</f>
        <v>19149.510000000002</v>
      </c>
      <c r="DS13" s="48">
        <f>9721.86-132.98</f>
        <v>9588.880000000001</v>
      </c>
    </row>
    <row r="14" spans="1:128" x14ac:dyDescent="0.25">
      <c r="A14" s="75" t="s">
        <v>38</v>
      </c>
      <c r="D14" s="1" t="s">
        <v>43</v>
      </c>
      <c r="E14" s="26">
        <f>+(165347-31090)/12*12</f>
        <v>134257</v>
      </c>
      <c r="F14" s="26">
        <f>+(165347-31090)/12*11</f>
        <v>123068.91666666667</v>
      </c>
      <c r="G14" s="26">
        <f>+(165347-31090)/12*10</f>
        <v>111880.83333333334</v>
      </c>
      <c r="H14" s="26">
        <f>+(165347-31090)/12*9</f>
        <v>100692.75</v>
      </c>
      <c r="I14" s="26">
        <f>+(165347-31090)/12*8</f>
        <v>89504.666666666672</v>
      </c>
      <c r="J14" s="26">
        <f>+(165347-31090)/12*7</f>
        <v>78316.583333333343</v>
      </c>
      <c r="K14" s="26">
        <f>+(165347-31090)/12*6</f>
        <v>67128.5</v>
      </c>
      <c r="L14" s="26">
        <f>+(165347-31090)/12*5</f>
        <v>55940.416666666672</v>
      </c>
      <c r="M14" s="26">
        <f>+(165347-31090)/12*4</f>
        <v>44752.333333333336</v>
      </c>
      <c r="N14" s="26">
        <f>+(165347-31090)/12*3</f>
        <v>33564.25</v>
      </c>
      <c r="O14" s="26">
        <f>+(165347-31090)/12*2</f>
        <v>22376.166666666668</v>
      </c>
      <c r="P14" s="26">
        <f>+(165347-31090)/12*1</f>
        <v>11188.083333333334</v>
      </c>
      <c r="Q14" s="93">
        <f>+(165347-31090)/12*12</f>
        <v>134257</v>
      </c>
      <c r="R14" s="50">
        <f>+(165347-31090)/12*11</f>
        <v>123068.91666666667</v>
      </c>
      <c r="S14" s="50">
        <f>+(165347-31090)/12*10</f>
        <v>111880.83333333334</v>
      </c>
      <c r="T14" s="50">
        <f>+(165347-31090)/12*9</f>
        <v>100692.75</v>
      </c>
      <c r="U14" s="50">
        <f>+(165347-31090)/12*8</f>
        <v>89504.666666666672</v>
      </c>
      <c r="V14" s="50">
        <f>+(165347-31090)/12*7</f>
        <v>78316.583333333343</v>
      </c>
      <c r="W14" s="50">
        <f>+(165347-31090)/12*6</f>
        <v>67128.5</v>
      </c>
      <c r="X14" s="50">
        <f>+(165347-31090)/12*5</f>
        <v>55940.416666666672</v>
      </c>
      <c r="Y14" s="50">
        <f>+(165347-31090)/12*4</f>
        <v>44752.333333333336</v>
      </c>
      <c r="Z14" s="50">
        <f>+(165347-31090)/12*3</f>
        <v>33564.25</v>
      </c>
      <c r="AA14" s="50">
        <f>+(165347-31090)/12*2</f>
        <v>22376.166666666668</v>
      </c>
      <c r="AB14" s="50">
        <f>+(165347-31090)/12*1</f>
        <v>11188.083333333334</v>
      </c>
      <c r="AC14" s="50">
        <f>+(165347-31090)/12*12</f>
        <v>134257</v>
      </c>
      <c r="AD14" s="50">
        <f>+(165347-31090)/12*11</f>
        <v>123068.91666666667</v>
      </c>
      <c r="AE14" s="50">
        <f>+(165347-31090)/12*10</f>
        <v>111880.83333333334</v>
      </c>
      <c r="AF14" s="50">
        <f>+(165347-31090)/12*9</f>
        <v>100692.75</v>
      </c>
      <c r="AG14" s="50">
        <f>+(165347-31090)/12*8</f>
        <v>89504.666666666672</v>
      </c>
      <c r="AH14" s="50">
        <f>+(165347-31090)/12*7</f>
        <v>78316.583333333343</v>
      </c>
      <c r="AI14" s="50">
        <f>+(165347-31090)/12*6</f>
        <v>67128.5</v>
      </c>
      <c r="AJ14" s="50">
        <f>+(165347-31090)/12*5</f>
        <v>55940.416666666672</v>
      </c>
      <c r="AK14" s="50">
        <f>+(165347-31090)/12*4</f>
        <v>44752.333333333336</v>
      </c>
      <c r="AL14" s="50">
        <f>+(165347-31090)/12*3</f>
        <v>33564.25</v>
      </c>
      <c r="AM14" s="50">
        <f>+(165347-31090)/12*2</f>
        <v>22376.166666666668</v>
      </c>
      <c r="AN14" s="50">
        <f>+(165347-31090)/12*1</f>
        <v>11188.083333333334</v>
      </c>
      <c r="AO14" s="50">
        <f>+(165347-31090)/12*12</f>
        <v>134257</v>
      </c>
      <c r="AP14" s="50">
        <f>+(165347-31090)/12*11</f>
        <v>123068.91666666667</v>
      </c>
      <c r="AQ14" s="50">
        <f>+(165347-31090)/12*10</f>
        <v>111880.83333333334</v>
      </c>
      <c r="AR14" s="50">
        <f>+(165347-31090)/12*9</f>
        <v>100692.75</v>
      </c>
      <c r="AS14" s="50">
        <f>+(165347-31090)/12*8</f>
        <v>89504.666666666672</v>
      </c>
      <c r="AT14" s="50">
        <f>+(165347-31090)/12*7</f>
        <v>78316.583333333343</v>
      </c>
      <c r="AU14" s="50">
        <f>+(165347-31090)/12*6</f>
        <v>67128.5</v>
      </c>
      <c r="AV14" s="50">
        <f>+(165347-31090)/12*5</f>
        <v>55940.416666666672</v>
      </c>
      <c r="AW14" s="50">
        <f>+(165347-31090)/12*4</f>
        <v>44752.333333333336</v>
      </c>
      <c r="AX14" s="50">
        <f>+(165347-31090)/12*3</f>
        <v>33564.25</v>
      </c>
      <c r="AY14" s="50">
        <f>+(165347-31090)/12*2</f>
        <v>22376.166666666668</v>
      </c>
      <c r="AZ14" s="50">
        <f>+(165347-31090)/12*1</f>
        <v>11188.083333333334</v>
      </c>
      <c r="BA14" s="50">
        <f>+(165347-31090)/12*12</f>
        <v>134257</v>
      </c>
      <c r="BB14" s="50">
        <f>+(165347-31090)/12*11</f>
        <v>123068.91666666667</v>
      </c>
      <c r="BC14" s="50">
        <f>+(165347-31090)/12*10</f>
        <v>111880.83333333334</v>
      </c>
      <c r="BD14" s="50">
        <f>+(165347-31090)/12*9</f>
        <v>100692.75</v>
      </c>
      <c r="BE14" s="50">
        <f>+(165347-31090)/12*8</f>
        <v>89504.666666666672</v>
      </c>
      <c r="BF14" s="26">
        <f>+(165347-31090)/12*7</f>
        <v>78316.583333333343</v>
      </c>
      <c r="BG14" s="26">
        <f>+(165347-31090)/12*6</f>
        <v>67128.5</v>
      </c>
      <c r="BH14" s="26">
        <f>+(165347-31090)/12*5</f>
        <v>55940.416666666672</v>
      </c>
      <c r="BI14" s="52">
        <f>+(165347-31090)/12*4</f>
        <v>44752.333333333336</v>
      </c>
      <c r="BJ14" s="26">
        <f>+(165347-31090)/12*3</f>
        <v>33564.25</v>
      </c>
      <c r="BK14" s="26">
        <f>+(165347-31090)/12*2</f>
        <v>22376.166666666668</v>
      </c>
      <c r="BL14" s="26">
        <f>+(165347-31090)/12*1</f>
        <v>11188.083333333334</v>
      </c>
      <c r="BM14" s="26">
        <f>+(173675-38900)/12*12</f>
        <v>134775</v>
      </c>
      <c r="BN14" s="26">
        <f>+(173675-38900)/12*11</f>
        <v>123543.75</v>
      </c>
      <c r="BO14" s="26">
        <f>+(173675-38900)/12*10</f>
        <v>112312.5</v>
      </c>
      <c r="BP14" s="26">
        <f>+(173675-38900)/12*9</f>
        <v>101081.25</v>
      </c>
      <c r="BQ14" s="26">
        <f>+(173675-38900)/12*8</f>
        <v>89850</v>
      </c>
      <c r="BR14" s="26">
        <f>+(173675-38900)/12*7</f>
        <v>78618.75</v>
      </c>
      <c r="BS14" s="26">
        <f>+(173675-38900)/12*6</f>
        <v>67387.5</v>
      </c>
      <c r="BT14" s="26">
        <f>+(173675-38900)/12*5</f>
        <v>56156.25</v>
      </c>
      <c r="BU14" s="26">
        <f>+(173675-38900)/12*4</f>
        <v>44925</v>
      </c>
      <c r="BV14" s="26">
        <f>+(173675-38900)/12*3</f>
        <v>33693.75</v>
      </c>
      <c r="BW14" s="26">
        <f>+(173675-38900)/12*2</f>
        <v>22462.5</v>
      </c>
      <c r="BX14" s="26">
        <f>+(173675-38900)/12*1</f>
        <v>11231.25</v>
      </c>
      <c r="BY14" s="26">
        <f>+(158897-34415)/12*12</f>
        <v>124482</v>
      </c>
      <c r="BZ14" s="26">
        <f>+(158897-34415)/12*11</f>
        <v>114108.5</v>
      </c>
      <c r="CA14" s="26">
        <f>+(158897-34415)/12*10</f>
        <v>103735</v>
      </c>
      <c r="CB14" s="26">
        <f>+(158897-34415)/12*9</f>
        <v>93361.5</v>
      </c>
      <c r="CC14" s="26">
        <f>+(158897-34415)/12*8</f>
        <v>82988</v>
      </c>
      <c r="CD14" s="26">
        <f>+(158897-34415)/12*7</f>
        <v>72614.5</v>
      </c>
      <c r="CE14" s="26">
        <f>+(158897-34415)/12*6</f>
        <v>62241</v>
      </c>
      <c r="CF14" s="26">
        <f>+(158897-34415)/12*5</f>
        <v>51867.5</v>
      </c>
      <c r="CG14" s="26">
        <f>+(158897-34415)/12*4</f>
        <v>41494</v>
      </c>
      <c r="CH14" s="26">
        <f>+(158897-34415)/12*3</f>
        <v>31120.5</v>
      </c>
      <c r="CI14" s="26">
        <f>+(158897-34415)/12*2</f>
        <v>20747</v>
      </c>
      <c r="CJ14" s="26">
        <f>+(158897-34415)/12</f>
        <v>10373.5</v>
      </c>
      <c r="CK14" s="48">
        <f>+(169577-41565)/12*12</f>
        <v>128012</v>
      </c>
      <c r="CL14" s="48">
        <f>+(169577-41565)/12*11</f>
        <v>117344.33333333333</v>
      </c>
      <c r="CM14" s="48">
        <f>+(169577-41565)/12*10</f>
        <v>106676.66666666666</v>
      </c>
      <c r="CN14" s="48">
        <f>+(169577-41565)/12*9</f>
        <v>96009</v>
      </c>
      <c r="CO14" s="48">
        <f>+(169577-41565)/12*8</f>
        <v>85341.333333333328</v>
      </c>
      <c r="CP14" s="48">
        <f>+(169577-41565)/12*7</f>
        <v>74673.666666666657</v>
      </c>
      <c r="CQ14" s="48">
        <f>+(169577-41565)/12*6</f>
        <v>64006</v>
      </c>
      <c r="CR14" s="48">
        <f>+(169577-41565)/12*5</f>
        <v>53338.333333333328</v>
      </c>
      <c r="CS14" s="48">
        <f>+(169577-41565)/12*4</f>
        <v>42670.666666666664</v>
      </c>
      <c r="CT14" s="48">
        <f>+(169577-41565)/12*3</f>
        <v>32003</v>
      </c>
      <c r="CU14" s="48">
        <f>+(169577-41565)/12*2</f>
        <v>21335.333333333332</v>
      </c>
      <c r="CV14" s="48">
        <f>+(169577-41565)/12</f>
        <v>10667.666666666666</v>
      </c>
      <c r="CW14" s="48">
        <f>+(171526-40275)/12*11</f>
        <v>120313.41666666667</v>
      </c>
      <c r="CX14" s="48">
        <f>+(171526-40275)/12*10</f>
        <v>109375.83333333334</v>
      </c>
      <c r="CY14" s="48">
        <f>+(171526-40275)/12*9</f>
        <v>98438.25</v>
      </c>
      <c r="CZ14" s="48">
        <f>+(171526-40275)/12*8</f>
        <v>87500.666666666672</v>
      </c>
      <c r="DA14" s="48">
        <f>+(171526-40275)/12*7</f>
        <v>76563.083333333343</v>
      </c>
      <c r="DB14" s="48">
        <f>+(171526-40275)/12*6</f>
        <v>65625.5</v>
      </c>
      <c r="DC14" s="48">
        <f>+(171526-40275)/12*5</f>
        <v>54687.916666666672</v>
      </c>
      <c r="DD14" s="48">
        <f>+(171526-40275)/12*4</f>
        <v>43750.333333333336</v>
      </c>
      <c r="DE14" s="48">
        <f>+(171526-40275)/12*3</f>
        <v>32812.75</v>
      </c>
      <c r="DF14" s="48">
        <f>+(171526-40275)/12*2</f>
        <v>21875.166666666668</v>
      </c>
      <c r="DG14" s="48">
        <f>+(171526-40275)/12</f>
        <v>10937.583333333334</v>
      </c>
      <c r="DH14" s="48">
        <f>131660/12*12</f>
        <v>131660</v>
      </c>
      <c r="DI14" s="48">
        <f>131660/12*11</f>
        <v>120688.33333333333</v>
      </c>
      <c r="DJ14" s="48">
        <f>131660/12*10</f>
        <v>109716.66666666666</v>
      </c>
      <c r="DK14" s="48">
        <f>131660/12*9</f>
        <v>98745</v>
      </c>
      <c r="DL14" s="48">
        <f>131660/12*8</f>
        <v>87773.333333333328</v>
      </c>
      <c r="DM14" s="48">
        <f>131660/12*7</f>
        <v>76801.666666666657</v>
      </c>
      <c r="DN14" s="48">
        <f>131660/12*6</f>
        <v>65830</v>
      </c>
      <c r="DO14" s="48">
        <f>131660/12*5</f>
        <v>54858.333333333328</v>
      </c>
      <c r="DP14" s="48">
        <f>131660/12*4</f>
        <v>43886.666666666664</v>
      </c>
      <c r="DQ14" s="48">
        <f>131660/12*3</f>
        <v>32915</v>
      </c>
      <c r="DR14" s="48">
        <f>131660/12*2</f>
        <v>21943.333333333332</v>
      </c>
      <c r="DS14" s="48">
        <f>131660/12</f>
        <v>10971.666666666666</v>
      </c>
    </row>
    <row r="15" spans="1:128" x14ac:dyDescent="0.25">
      <c r="D15" s="1" t="s">
        <v>44</v>
      </c>
      <c r="E15" s="24">
        <f t="shared" ref="E15:F15" si="30">+E14-E13</f>
        <v>-16926.229999999981</v>
      </c>
      <c r="F15" s="24">
        <f t="shared" si="30"/>
        <v>-10554.023333333331</v>
      </c>
      <c r="G15" s="24">
        <f t="shared" ref="G15:H15" si="31">+G14-G13</f>
        <v>-11623.46666666666</v>
      </c>
      <c r="H15" s="24">
        <f t="shared" si="31"/>
        <v>-10584.030000000013</v>
      </c>
      <c r="I15" s="24">
        <f t="shared" ref="I15:J15" si="32">+I14-I13</f>
        <v>-9320.0933333333232</v>
      </c>
      <c r="J15" s="24">
        <f t="shared" si="32"/>
        <v>-10161.226666666655</v>
      </c>
      <c r="K15" s="24">
        <f t="shared" ref="K15:L15" si="33">+K14-K13</f>
        <v>-7747.4599999999919</v>
      </c>
      <c r="L15" s="24">
        <f t="shared" si="33"/>
        <v>-6039.8133333333317</v>
      </c>
      <c r="M15" s="24">
        <f t="shared" ref="M15:N15" si="34">+M14-M13</f>
        <v>-7661.8166666666657</v>
      </c>
      <c r="N15" s="24">
        <f t="shared" si="34"/>
        <v>-6237.6599999999962</v>
      </c>
      <c r="O15" s="24">
        <f t="shared" ref="O15:P15" si="35">+O14-O13</f>
        <v>-5051.8033333333333</v>
      </c>
      <c r="P15" s="24">
        <f t="shared" si="35"/>
        <v>-5715.9466666666649</v>
      </c>
      <c r="Q15" s="91">
        <f t="shared" ref="Q15:CB15" si="36">+Q14-Q13</f>
        <v>-9427.1699999999837</v>
      </c>
      <c r="R15" s="83">
        <f t="shared" si="36"/>
        <v>-8027.5533333333296</v>
      </c>
      <c r="S15" s="83">
        <f t="shared" si="36"/>
        <v>-7967.2066666666506</v>
      </c>
      <c r="T15" s="83">
        <f t="shared" si="36"/>
        <v>-7245.4700000000012</v>
      </c>
      <c r="U15" s="83">
        <f t="shared" si="36"/>
        <v>-6469.7333333333227</v>
      </c>
      <c r="V15" s="24">
        <f t="shared" si="36"/>
        <v>-6454.9866666666494</v>
      </c>
      <c r="W15" s="83">
        <f t="shared" si="36"/>
        <v>-5317.7299999999959</v>
      </c>
      <c r="X15" s="83">
        <f t="shared" si="36"/>
        <v>-3900.1733333333323</v>
      </c>
      <c r="Y15" s="83">
        <f t="shared" si="36"/>
        <v>-3465.6266666666706</v>
      </c>
      <c r="Z15" s="24">
        <f t="shared" si="36"/>
        <v>-4785.6199999999953</v>
      </c>
      <c r="AA15" s="24">
        <f t="shared" si="36"/>
        <v>-3472.8133333333317</v>
      </c>
      <c r="AB15" s="24">
        <f t="shared" si="36"/>
        <v>-4118.6366666666672</v>
      </c>
      <c r="AC15" s="24">
        <f t="shared" si="36"/>
        <v>947.61000000001513</v>
      </c>
      <c r="AD15" s="24">
        <f t="shared" si="36"/>
        <v>3901.826666666675</v>
      </c>
      <c r="AE15" s="24">
        <f t="shared" si="36"/>
        <v>3099.5233333333454</v>
      </c>
      <c r="AF15" s="24">
        <f t="shared" si="36"/>
        <v>1169.3300000000017</v>
      </c>
      <c r="AG15" s="24">
        <f t="shared" si="36"/>
        <v>-941.83333333332848</v>
      </c>
      <c r="AH15" s="24">
        <f t="shared" si="36"/>
        <v>-2122.8266666666605</v>
      </c>
      <c r="AI15" s="24">
        <f t="shared" si="36"/>
        <v>-2344.3000000000029</v>
      </c>
      <c r="AJ15" s="24">
        <f t="shared" si="36"/>
        <v>779.34666666667181</v>
      </c>
      <c r="AK15" s="24">
        <f t="shared" si="36"/>
        <v>-1234.4766666666692</v>
      </c>
      <c r="AL15" s="24">
        <f t="shared" si="36"/>
        <v>-1683.7400000000052</v>
      </c>
      <c r="AM15" s="24">
        <f t="shared" si="36"/>
        <v>-76.773333333330811</v>
      </c>
      <c r="AN15" s="24">
        <f t="shared" si="36"/>
        <v>-1470.5866666666661</v>
      </c>
      <c r="AO15" s="24">
        <f t="shared" si="36"/>
        <v>3677.0900000000111</v>
      </c>
      <c r="AP15" s="24">
        <f t="shared" si="36"/>
        <v>9009.6966666666704</v>
      </c>
      <c r="AQ15" s="24">
        <f t="shared" si="36"/>
        <v>7005.813333333339</v>
      </c>
      <c r="AR15" s="24">
        <f t="shared" si="36"/>
        <v>4868.1800000000076</v>
      </c>
      <c r="AS15" s="24">
        <f t="shared" si="36"/>
        <v>5185.3066666666709</v>
      </c>
      <c r="AT15" s="24">
        <f t="shared" si="36"/>
        <v>4732.8633333333419</v>
      </c>
      <c r="AU15" s="24">
        <f t="shared" si="36"/>
        <v>2762.6900000000023</v>
      </c>
      <c r="AV15" s="24">
        <f t="shared" si="36"/>
        <v>3265.8766666666779</v>
      </c>
      <c r="AW15" s="24">
        <f t="shared" si="36"/>
        <v>1839.6333333333387</v>
      </c>
      <c r="AX15" s="24">
        <f t="shared" si="36"/>
        <v>-1832.2900000000009</v>
      </c>
      <c r="AY15" s="24">
        <f t="shared" si="36"/>
        <v>146.33666666666613</v>
      </c>
      <c r="AZ15" s="24">
        <f t="shared" si="36"/>
        <v>-1376.1166666666668</v>
      </c>
      <c r="BA15" s="24">
        <f t="shared" si="36"/>
        <v>12315.770000000004</v>
      </c>
      <c r="BB15" s="24">
        <f t="shared" si="36"/>
        <v>12925.58666666667</v>
      </c>
      <c r="BC15" s="24">
        <f t="shared" si="36"/>
        <v>11863.543333333335</v>
      </c>
      <c r="BD15" s="24">
        <f t="shared" si="36"/>
        <v>10718.710000000006</v>
      </c>
      <c r="BE15" s="24">
        <f t="shared" si="36"/>
        <v>11493.356666666674</v>
      </c>
      <c r="BF15" s="42">
        <f t="shared" si="36"/>
        <v>8958.2933333333494</v>
      </c>
      <c r="BG15" s="24">
        <f t="shared" si="36"/>
        <v>9471.3999999999942</v>
      </c>
      <c r="BH15" s="24">
        <f t="shared" si="36"/>
        <v>7815.8466666666718</v>
      </c>
      <c r="BI15" s="43">
        <f t="shared" si="36"/>
        <v>5600.1833333333343</v>
      </c>
      <c r="BJ15" s="24">
        <f t="shared" si="36"/>
        <v>3651.119999999999</v>
      </c>
      <c r="BK15" s="24">
        <f t="shared" si="36"/>
        <v>2856.4466666666667</v>
      </c>
      <c r="BL15" s="24">
        <f t="shared" si="36"/>
        <v>873.22333333333336</v>
      </c>
      <c r="BM15" s="24">
        <f t="shared" si="36"/>
        <v>12523.959999999992</v>
      </c>
      <c r="BN15" s="24">
        <f t="shared" si="36"/>
        <v>13377.449999999983</v>
      </c>
      <c r="BO15" s="24">
        <f t="shared" si="36"/>
        <v>12332.599999999991</v>
      </c>
      <c r="BP15" s="24">
        <f t="shared" si="36"/>
        <v>10216.970000000001</v>
      </c>
      <c r="BQ15" s="24">
        <f t="shared" si="36"/>
        <v>9062.0499999999884</v>
      </c>
      <c r="BR15" s="24">
        <f t="shared" si="36"/>
        <v>6693.6399999999994</v>
      </c>
      <c r="BS15" s="24">
        <f t="shared" si="36"/>
        <v>8825.39</v>
      </c>
      <c r="BT15" s="24">
        <f t="shared" si="36"/>
        <v>6898.7000000000044</v>
      </c>
      <c r="BU15" s="24">
        <f t="shared" si="36"/>
        <v>5354.7299999999959</v>
      </c>
      <c r="BV15" s="24">
        <f t="shared" si="36"/>
        <v>4244.09</v>
      </c>
      <c r="BW15" s="24">
        <f t="shared" si="36"/>
        <v>1584.1100000000006</v>
      </c>
      <c r="BX15" s="24">
        <f t="shared" si="36"/>
        <v>133.10000000000036</v>
      </c>
      <c r="BY15" s="24">
        <f t="shared" si="36"/>
        <v>13170.350000000006</v>
      </c>
      <c r="BZ15" s="24">
        <f t="shared" si="36"/>
        <v>12681.62999999999</v>
      </c>
      <c r="CA15" s="24">
        <f t="shared" si="36"/>
        <v>10894.25</v>
      </c>
      <c r="CB15" s="24">
        <f t="shared" si="36"/>
        <v>10468.25</v>
      </c>
      <c r="CC15" s="24">
        <f t="shared" ref="CC15:DS15" si="37">+CC14-CC13</f>
        <v>9897</v>
      </c>
      <c r="CD15" s="24">
        <f t="shared" si="37"/>
        <v>7945</v>
      </c>
      <c r="CE15" s="24">
        <f t="shared" si="37"/>
        <v>8762.9799999999959</v>
      </c>
      <c r="CF15" s="24">
        <f t="shared" si="37"/>
        <v>6089.6100000000006</v>
      </c>
      <c r="CG15" s="24">
        <f t="shared" si="37"/>
        <v>4447.4500000000044</v>
      </c>
      <c r="CH15" s="24">
        <f t="shared" si="37"/>
        <v>5308.1699999999983</v>
      </c>
      <c r="CI15" s="24">
        <f t="shared" si="37"/>
        <v>2776.8600000000006</v>
      </c>
      <c r="CJ15" s="24">
        <f t="shared" si="37"/>
        <v>230.15999999999985</v>
      </c>
      <c r="CK15" s="24">
        <f t="shared" si="37"/>
        <v>12471.600000000006</v>
      </c>
      <c r="CL15" s="24">
        <f t="shared" si="37"/>
        <v>12685.283333333326</v>
      </c>
      <c r="CM15" s="24">
        <f t="shared" si="37"/>
        <v>10799.556666666656</v>
      </c>
      <c r="CN15" s="24">
        <f t="shared" si="37"/>
        <v>9478.320000000007</v>
      </c>
      <c r="CO15" s="24">
        <f t="shared" si="37"/>
        <v>7005.993333333332</v>
      </c>
      <c r="CP15" s="24">
        <f t="shared" si="37"/>
        <v>4702.9066666666622</v>
      </c>
      <c r="CQ15" s="24">
        <f t="shared" si="37"/>
        <v>4895.6500000000015</v>
      </c>
      <c r="CR15" s="24">
        <f t="shared" si="37"/>
        <v>4014.2633333333288</v>
      </c>
      <c r="CS15" s="24">
        <f t="shared" si="37"/>
        <v>2603.5266666666648</v>
      </c>
      <c r="CT15" s="24">
        <f t="shared" si="37"/>
        <v>951.34000000000015</v>
      </c>
      <c r="CU15" s="24">
        <f t="shared" si="37"/>
        <v>-236.95666666666875</v>
      </c>
      <c r="CV15" s="24">
        <f t="shared" si="37"/>
        <v>-2834.623333333333</v>
      </c>
      <c r="CW15" s="24">
        <f t="shared" si="37"/>
        <v>16447.546666666676</v>
      </c>
      <c r="CX15" s="24">
        <f t="shared" si="37"/>
        <v>15053.423333333354</v>
      </c>
      <c r="CY15" s="24">
        <f t="shared" si="37"/>
        <v>12257.429999999993</v>
      </c>
      <c r="CZ15" s="24">
        <f t="shared" si="37"/>
        <v>8906.506666666668</v>
      </c>
      <c r="DA15" s="24">
        <f t="shared" si="37"/>
        <v>12558.323333333348</v>
      </c>
      <c r="DB15" s="24">
        <f t="shared" si="37"/>
        <v>11053.489999999998</v>
      </c>
      <c r="DC15" s="24">
        <f t="shared" si="37"/>
        <v>7567.9566666666724</v>
      </c>
      <c r="DD15" s="24">
        <f t="shared" si="37"/>
        <v>4875.9433333333363</v>
      </c>
      <c r="DE15" s="24">
        <f t="shared" si="37"/>
        <v>3945.84</v>
      </c>
      <c r="DF15" s="24">
        <f t="shared" si="37"/>
        <v>6757.7366666666676</v>
      </c>
      <c r="DG15" s="24">
        <f t="shared" si="37"/>
        <v>1408.8533333333326</v>
      </c>
      <c r="DH15" s="24">
        <f t="shared" si="37"/>
        <v>21466.300000000017</v>
      </c>
      <c r="DI15" s="24">
        <f t="shared" si="37"/>
        <v>20792.363333333327</v>
      </c>
      <c r="DJ15" s="24">
        <f t="shared" si="37"/>
        <v>16897.84666666665</v>
      </c>
      <c r="DK15" s="24">
        <f t="shared" si="37"/>
        <v>14677.169999999998</v>
      </c>
      <c r="DL15" s="24">
        <f t="shared" si="37"/>
        <v>12073.743333333332</v>
      </c>
      <c r="DM15" s="24">
        <f t="shared" si="37"/>
        <v>9696.9766666666546</v>
      </c>
      <c r="DN15" s="24">
        <f t="shared" si="37"/>
        <v>8653.1800000000076</v>
      </c>
      <c r="DO15" s="24">
        <f t="shared" si="37"/>
        <v>5183.1933333333291</v>
      </c>
      <c r="DP15" s="24">
        <f t="shared" si="37"/>
        <v>5055.1666666666642</v>
      </c>
      <c r="DQ15" s="24">
        <f t="shared" si="37"/>
        <v>4984.6700000000019</v>
      </c>
      <c r="DR15" s="24">
        <f t="shared" si="37"/>
        <v>2793.8233333333301</v>
      </c>
      <c r="DS15" s="24">
        <f t="shared" si="37"/>
        <v>1382.786666666665</v>
      </c>
    </row>
    <row r="16" spans="1:128" x14ac:dyDescent="0.25"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89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7"/>
      <c r="AU16" s="17"/>
      <c r="AV16" s="17"/>
      <c r="AW16" s="17"/>
      <c r="AX16" s="15"/>
      <c r="AY16" s="17"/>
      <c r="AZ16" s="17"/>
      <c r="BA16" s="17"/>
      <c r="BB16" s="17"/>
      <c r="BC16" s="17"/>
      <c r="BD16" s="14"/>
      <c r="BE16" s="16"/>
      <c r="BF16" s="1"/>
      <c r="BG16" s="1"/>
      <c r="BI16" s="37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</row>
    <row r="17" spans="1:123" ht="15.75" thickBot="1" x14ac:dyDescent="0.3">
      <c r="A17" s="1" t="s">
        <v>45</v>
      </c>
      <c r="D17" s="1" t="s">
        <v>46</v>
      </c>
      <c r="E17" s="27">
        <f t="shared" ref="E17:F17" si="38">+E15+E7+E11</f>
        <v>-29468.443333333307</v>
      </c>
      <c r="F17" s="27">
        <f t="shared" si="38"/>
        <v>-22257.92666666667</v>
      </c>
      <c r="G17" s="27">
        <f t="shared" ref="G17:H17" si="39">+G15+G7+G11</f>
        <v>-21274.033333333333</v>
      </c>
      <c r="H17" s="27">
        <f t="shared" si="39"/>
        <v>-23105.020000000019</v>
      </c>
      <c r="I17" s="27">
        <f t="shared" ref="I17:J17" si="40">+I15+I7+I11</f>
        <v>-22795.239999999972</v>
      </c>
      <c r="J17" s="27">
        <f t="shared" si="40"/>
        <v>-25839.039999999994</v>
      </c>
      <c r="K17" s="27">
        <f t="shared" ref="K17:L17" si="41">+K15+K7+K11</f>
        <v>-23261.82666666666</v>
      </c>
      <c r="L17" s="27">
        <f t="shared" si="41"/>
        <v>-19808.250000000004</v>
      </c>
      <c r="M17" s="27">
        <f t="shared" ref="M17:AJ17" si="42">+M15+M7+M11</f>
        <v>-13801.306666666665</v>
      </c>
      <c r="N17" s="27">
        <f t="shared" si="42"/>
        <v>-16602.156666666662</v>
      </c>
      <c r="O17" s="27">
        <f t="shared" si="42"/>
        <v>-15772.136666666665</v>
      </c>
      <c r="P17" s="27">
        <f t="shared" si="42"/>
        <v>-16010.033333333327</v>
      </c>
      <c r="Q17" s="94">
        <f t="shared" si="42"/>
        <v>-17548.53</v>
      </c>
      <c r="R17" s="84">
        <f t="shared" si="42"/>
        <v>-16810.006666666657</v>
      </c>
      <c r="S17" s="84">
        <f t="shared" si="42"/>
        <v>-15838.026666666658</v>
      </c>
      <c r="T17" s="84">
        <f t="shared" si="42"/>
        <v>-18552.286666666667</v>
      </c>
      <c r="U17" s="84">
        <f t="shared" si="42"/>
        <v>-23766.733333333326</v>
      </c>
      <c r="V17" s="27">
        <f t="shared" si="42"/>
        <v>-23073.786666666652</v>
      </c>
      <c r="W17" s="84">
        <f t="shared" si="42"/>
        <v>-20096.93</v>
      </c>
      <c r="X17" s="84">
        <f t="shared" si="42"/>
        <v>-17542.303333333319</v>
      </c>
      <c r="Y17" s="84">
        <f t="shared" si="42"/>
        <v>-16549.893333333333</v>
      </c>
      <c r="Z17" s="27">
        <f t="shared" si="42"/>
        <v>-17448.793333333335</v>
      </c>
      <c r="AA17" s="27">
        <f t="shared" si="42"/>
        <v>-17460.87666666666</v>
      </c>
      <c r="AB17" s="27">
        <f t="shared" si="42"/>
        <v>-17755.123333333333</v>
      </c>
      <c r="AC17" s="27">
        <f t="shared" si="42"/>
        <v>-4436.2200000000012</v>
      </c>
      <c r="AD17" s="27">
        <f t="shared" si="42"/>
        <v>-676.78666666665595</v>
      </c>
      <c r="AE17" s="27">
        <f t="shared" si="42"/>
        <v>-598.77333333332354</v>
      </c>
      <c r="AF17" s="27">
        <f t="shared" si="42"/>
        <v>-2732.070000000007</v>
      </c>
      <c r="AG17" s="27">
        <f t="shared" si="42"/>
        <v>-6296.0366666666559</v>
      </c>
      <c r="AH17" s="27">
        <f t="shared" si="42"/>
        <v>-7397.2933333333294</v>
      </c>
      <c r="AI17" s="27">
        <f t="shared" si="42"/>
        <v>-7486.5200000000041</v>
      </c>
      <c r="AJ17" s="27">
        <f t="shared" si="42"/>
        <v>-3547.7466666666551</v>
      </c>
      <c r="AK17" s="27">
        <f t="shared" ref="AK17:CV17" si="43">+AK15+AK7+AK11</f>
        <v>-4943.4833333333318</v>
      </c>
      <c r="AL17" s="27">
        <f t="shared" si="43"/>
        <v>-6198.1000000000058</v>
      </c>
      <c r="AM17" s="74">
        <f t="shared" si="43"/>
        <v>-4212.1466666666647</v>
      </c>
      <c r="AN17" s="27">
        <f t="shared" si="43"/>
        <v>-6279.8633333333328</v>
      </c>
      <c r="AO17" s="27">
        <f t="shared" si="43"/>
        <v>13323.100000000006</v>
      </c>
      <c r="AP17" s="27">
        <f t="shared" si="43"/>
        <v>16946.233333333348</v>
      </c>
      <c r="AQ17" s="27">
        <f t="shared" si="43"/>
        <v>14353.186666666683</v>
      </c>
      <c r="AR17" s="27">
        <f t="shared" si="43"/>
        <v>5994.4000000000087</v>
      </c>
      <c r="AS17" s="27">
        <f t="shared" si="43"/>
        <v>2440.2033333333347</v>
      </c>
      <c r="AT17" s="27">
        <f t="shared" si="43"/>
        <v>1053.0766666666805</v>
      </c>
      <c r="AU17" s="27">
        <f t="shared" si="43"/>
        <v>-1196.0699999999924</v>
      </c>
      <c r="AV17" s="27">
        <f t="shared" si="43"/>
        <v>-1004.6266666666525</v>
      </c>
      <c r="AW17" s="27">
        <f t="shared" si="43"/>
        <v>-4213.643333333328</v>
      </c>
      <c r="AX17" s="27">
        <f t="shared" si="43"/>
        <v>-7752.2800000000061</v>
      </c>
      <c r="AY17" s="27">
        <f t="shared" si="43"/>
        <v>-8619.1966666666631</v>
      </c>
      <c r="AZ17" s="27">
        <f t="shared" si="43"/>
        <v>-10903.053333333337</v>
      </c>
      <c r="BA17" s="27">
        <f t="shared" si="43"/>
        <v>16214.201428571429</v>
      </c>
      <c r="BB17" s="27">
        <f t="shared" si="43"/>
        <v>15068.000476190478</v>
      </c>
      <c r="BC17" s="27">
        <f t="shared" si="43"/>
        <v>13843.749523809525</v>
      </c>
      <c r="BD17" s="27">
        <f t="shared" si="43"/>
        <v>8660.2100000000064</v>
      </c>
      <c r="BE17" s="27">
        <f t="shared" si="43"/>
        <v>5978.1990476190585</v>
      </c>
      <c r="BF17" s="27">
        <f t="shared" si="43"/>
        <v>897.27238095240136</v>
      </c>
      <c r="BG17" s="27">
        <f t="shared" si="43"/>
        <v>1204.1199999999953</v>
      </c>
      <c r="BH17" s="27">
        <f t="shared" si="43"/>
        <v>368.0033333333522</v>
      </c>
      <c r="BI17" s="56">
        <f t="shared" si="43"/>
        <v>-1393.3933333333352</v>
      </c>
      <c r="BJ17" s="27">
        <f t="shared" si="43"/>
        <v>-2305.9400000000023</v>
      </c>
      <c r="BK17" s="27">
        <f t="shared" si="43"/>
        <v>-1956.9766666666628</v>
      </c>
      <c r="BL17" s="27">
        <f t="shared" si="43"/>
        <v>-986.34333333332734</v>
      </c>
      <c r="BM17" s="27">
        <f t="shared" si="43"/>
        <v>-1152.8199999999888</v>
      </c>
      <c r="BN17" s="27">
        <f t="shared" si="43"/>
        <v>1302.8175757575591</v>
      </c>
      <c r="BO17" s="27">
        <f t="shared" si="43"/>
        <v>1014.4033333333427</v>
      </c>
      <c r="BP17" s="27">
        <f t="shared" si="43"/>
        <v>-242.6933333333327</v>
      </c>
      <c r="BQ17" s="27">
        <f t="shared" si="43"/>
        <v>-588.38333333333503</v>
      </c>
      <c r="BR17" s="27">
        <f t="shared" si="43"/>
        <v>-2494.6452380952451</v>
      </c>
      <c r="BS17" s="27">
        <f t="shared" si="43"/>
        <v>629.36000000000422</v>
      </c>
      <c r="BT17" s="27">
        <f t="shared" si="43"/>
        <v>-431.77333333333081</v>
      </c>
      <c r="BU17" s="27">
        <f t="shared" si="43"/>
        <v>-415.62666666667246</v>
      </c>
      <c r="BV17" s="27">
        <f t="shared" si="43"/>
        <v>-1020.8399999999965</v>
      </c>
      <c r="BW17" s="27">
        <f t="shared" si="43"/>
        <v>-3258.7233333333324</v>
      </c>
      <c r="BX17" s="27">
        <f t="shared" si="43"/>
        <v>-4532.8166666666657</v>
      </c>
      <c r="BY17" s="27">
        <f t="shared" si="43"/>
        <v>11684.929999999989</v>
      </c>
      <c r="BZ17" s="27">
        <f t="shared" si="43"/>
        <v>11599.576363636354</v>
      </c>
      <c r="CA17" s="27">
        <f t="shared" si="43"/>
        <v>10191.159999999989</v>
      </c>
      <c r="CB17" s="27">
        <f t="shared" si="43"/>
        <v>8292.9833333333318</v>
      </c>
      <c r="CC17" s="27">
        <f t="shared" si="43"/>
        <v>6203.359999999986</v>
      </c>
      <c r="CD17" s="27">
        <f t="shared" si="43"/>
        <v>4735.1799999999912</v>
      </c>
      <c r="CE17" s="27">
        <f t="shared" si="43"/>
        <v>5633.7499999999891</v>
      </c>
      <c r="CF17" s="27">
        <f t="shared" si="43"/>
        <v>3507.9899999999975</v>
      </c>
      <c r="CG17" s="27">
        <f t="shared" si="43"/>
        <v>750.90000000000146</v>
      </c>
      <c r="CH17" s="27">
        <f t="shared" si="43"/>
        <v>1411.2400000000021</v>
      </c>
      <c r="CI17" s="27">
        <f t="shared" si="43"/>
        <v>-723.47000000000116</v>
      </c>
      <c r="CJ17" s="27">
        <f t="shared" si="43"/>
        <v>-2156.2199999999975</v>
      </c>
      <c r="CK17" s="27">
        <f t="shared" si="43"/>
        <v>9155.6400000000103</v>
      </c>
      <c r="CL17" s="27">
        <f t="shared" si="43"/>
        <v>10807.483939393935</v>
      </c>
      <c r="CM17" s="27">
        <f t="shared" si="43"/>
        <v>9791.9933333333211</v>
      </c>
      <c r="CN17" s="27">
        <f t="shared" si="43"/>
        <v>9580.8800000000047</v>
      </c>
      <c r="CO17" s="27">
        <f t="shared" si="43"/>
        <v>7095.1266666666634</v>
      </c>
      <c r="CP17" s="27">
        <f t="shared" si="43"/>
        <v>5815.6233333333275</v>
      </c>
      <c r="CQ17" s="27">
        <f t="shared" si="43"/>
        <v>6407.7599999999984</v>
      </c>
      <c r="CR17" s="27">
        <f t="shared" si="43"/>
        <v>4384.9066666666658</v>
      </c>
      <c r="CS17" s="27">
        <f t="shared" si="43"/>
        <v>3660.0233333333254</v>
      </c>
      <c r="CT17" s="27">
        <f t="shared" si="43"/>
        <v>2602.6199999999953</v>
      </c>
      <c r="CU17" s="27">
        <f t="shared" si="43"/>
        <v>-1339.2033333333302</v>
      </c>
      <c r="CV17" s="27">
        <f t="shared" si="43"/>
        <v>-3836.1066666666679</v>
      </c>
      <c r="CW17" s="27">
        <f t="shared" ref="CW17:DG17" si="44">+CW15+CW7+CW11</f>
        <v>17322.449696969721</v>
      </c>
      <c r="CX17" s="27">
        <f t="shared" si="44"/>
        <v>12404.956666666694</v>
      </c>
      <c r="CY17" s="27">
        <f t="shared" si="44"/>
        <v>2144.44333333332</v>
      </c>
      <c r="CZ17" s="27">
        <f t="shared" si="44"/>
        <v>125.85333333332892</v>
      </c>
      <c r="DA17" s="27">
        <f t="shared" si="44"/>
        <v>5340.4066666666804</v>
      </c>
      <c r="DB17" s="27">
        <f t="shared" si="44"/>
        <v>6002.229999999985</v>
      </c>
      <c r="DC17" s="27">
        <f t="shared" si="44"/>
        <v>3429.9533333333275</v>
      </c>
      <c r="DD17" s="27">
        <f t="shared" si="44"/>
        <v>2939.1866666666738</v>
      </c>
      <c r="DE17" s="27">
        <f t="shared" si="44"/>
        <v>2303.2100000000132</v>
      </c>
      <c r="DF17" s="27">
        <f t="shared" si="44"/>
        <v>4287.1933333333427</v>
      </c>
      <c r="DG17" s="27">
        <f t="shared" si="44"/>
        <v>1576.6766666666713</v>
      </c>
      <c r="DH17" s="27">
        <f t="shared" ref="DH17:DS17" si="45">+DH15+DH7</f>
        <v>16823.390909090929</v>
      </c>
      <c r="DI17" s="27">
        <f t="shared" si="45"/>
        <v>16149.454242424239</v>
      </c>
      <c r="DJ17" s="27">
        <f t="shared" si="45"/>
        <v>12160.246666666651</v>
      </c>
      <c r="DK17" s="27">
        <f t="shared" si="45"/>
        <v>9842.5033333333322</v>
      </c>
      <c r="DL17" s="27">
        <f t="shared" si="45"/>
        <v>7159.743333333332</v>
      </c>
      <c r="DM17" s="27">
        <f t="shared" si="45"/>
        <v>4728.9766666666574</v>
      </c>
      <c r="DN17" s="27">
        <f t="shared" si="45"/>
        <v>3641.1800000000112</v>
      </c>
      <c r="DO17" s="27">
        <f t="shared" si="45"/>
        <v>176.79333333332761</v>
      </c>
      <c r="DP17" s="27">
        <f t="shared" si="45"/>
        <v>141.16666666666424</v>
      </c>
      <c r="DQ17" s="27">
        <f t="shared" si="45"/>
        <v>-559.32999999999811</v>
      </c>
      <c r="DR17" s="27">
        <f t="shared" si="45"/>
        <v>-1658.1766666666699</v>
      </c>
      <c r="DS17" s="27">
        <f t="shared" si="45"/>
        <v>-2145.213333333335</v>
      </c>
    </row>
    <row r="18" spans="1:123" ht="15.75" thickTop="1" x14ac:dyDescent="0.25"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89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7"/>
      <c r="AU18" s="17"/>
      <c r="AV18" s="17"/>
      <c r="AW18" s="17"/>
      <c r="AX18" s="15"/>
      <c r="AY18" s="17"/>
      <c r="AZ18" s="17"/>
      <c r="BA18" s="17"/>
      <c r="BB18" s="17"/>
      <c r="BC18" s="17"/>
      <c r="BD18" s="14"/>
      <c r="BE18" s="16"/>
      <c r="BF18" s="1"/>
      <c r="BG18" s="1"/>
      <c r="BI18" s="37"/>
    </row>
    <row r="19" spans="1:123" x14ac:dyDescent="0.25">
      <c r="A19" s="75" t="s">
        <v>47</v>
      </c>
      <c r="D19" s="1" t="s">
        <v>48</v>
      </c>
      <c r="E19" s="26">
        <v>206602.87</v>
      </c>
      <c r="F19" s="26">
        <v>205718.89</v>
      </c>
      <c r="G19" s="26">
        <v>208325.66</v>
      </c>
      <c r="H19" s="26">
        <v>212593.24</v>
      </c>
      <c r="I19" s="26">
        <v>224564.19</v>
      </c>
      <c r="J19" s="26">
        <v>221693.38</v>
      </c>
      <c r="K19" s="26">
        <v>228485.13</v>
      </c>
      <c r="L19" s="26">
        <v>247712.69</v>
      </c>
      <c r="M19" s="26">
        <v>231128.26</v>
      </c>
      <c r="N19" s="26">
        <v>226942.72</v>
      </c>
      <c r="O19" s="26">
        <v>231145.60000000001</v>
      </c>
      <c r="P19" s="26">
        <v>231734.62</v>
      </c>
      <c r="Q19" s="93">
        <v>230870.1</v>
      </c>
      <c r="R19" s="50">
        <v>222921.39</v>
      </c>
      <c r="S19" s="50">
        <v>225076.97</v>
      </c>
      <c r="T19" s="50">
        <v>228167.57</v>
      </c>
      <c r="U19" s="50">
        <v>227035.81</v>
      </c>
      <c r="V19" s="50">
        <v>229268.95</v>
      </c>
      <c r="W19" s="50">
        <v>234617.17</v>
      </c>
      <c r="X19" s="50">
        <v>240790.82</v>
      </c>
      <c r="Y19" s="50">
        <v>249066.92</v>
      </c>
      <c r="Z19" s="50">
        <v>243120.21</v>
      </c>
      <c r="AA19" s="50">
        <v>241131.46</v>
      </c>
      <c r="AB19" s="50">
        <v>242033.65</v>
      </c>
      <c r="AC19" s="50">
        <v>244725.1</v>
      </c>
      <c r="AD19" s="50">
        <v>226625.55</v>
      </c>
      <c r="AE19" s="50">
        <v>226608.28</v>
      </c>
      <c r="AF19" s="50">
        <v>229510.33</v>
      </c>
      <c r="AG19" s="50">
        <v>232511.29</v>
      </c>
      <c r="AH19" s="50">
        <v>234286.13</v>
      </c>
      <c r="AI19" s="50">
        <v>236172.23</v>
      </c>
      <c r="AJ19" s="50">
        <v>242756.93</v>
      </c>
      <c r="AK19" s="50">
        <v>247702.06</v>
      </c>
      <c r="AL19" s="50">
        <v>235877.87</v>
      </c>
      <c r="AM19" s="50">
        <v>234462.44</v>
      </c>
      <c r="AN19" s="50">
        <v>232551.07</v>
      </c>
      <c r="AO19" s="50">
        <v>227223.46</v>
      </c>
      <c r="AP19" s="50">
        <v>222291.28</v>
      </c>
      <c r="AQ19" s="50">
        <v>222964.41</v>
      </c>
      <c r="AR19" s="50">
        <v>220065.09</v>
      </c>
      <c r="AS19" s="50">
        <v>219445.58</v>
      </c>
      <c r="AT19" s="50">
        <v>221905.46</v>
      </c>
      <c r="AU19" s="50">
        <v>221376.32</v>
      </c>
      <c r="AV19" s="50">
        <v>226540.87</v>
      </c>
      <c r="AW19" s="50">
        <v>228537.46</v>
      </c>
      <c r="AX19" s="50">
        <v>218238.76</v>
      </c>
      <c r="AY19" s="50">
        <v>217631.22</v>
      </c>
      <c r="AZ19" s="50">
        <v>215799.79</v>
      </c>
      <c r="BA19" s="50">
        <v>213717.5</v>
      </c>
      <c r="BB19" s="50">
        <v>200455.16</v>
      </c>
      <c r="BC19" s="50">
        <v>199174.08</v>
      </c>
      <c r="BD19" s="18">
        <v>198871.91</v>
      </c>
      <c r="BE19" s="18">
        <v>201633.03</v>
      </c>
      <c r="BF19" s="26">
        <v>198427.36</v>
      </c>
      <c r="BG19" s="9">
        <v>201764.75</v>
      </c>
      <c r="BH19" s="9">
        <v>204090.18</v>
      </c>
      <c r="BI19" s="11">
        <v>204811.16</v>
      </c>
      <c r="BJ19" s="9">
        <v>207426.69</v>
      </c>
      <c r="BK19" s="9">
        <v>208671.66</v>
      </c>
      <c r="BL19" s="9">
        <v>205831.41</v>
      </c>
      <c r="BM19" s="9">
        <v>196400.27</v>
      </c>
      <c r="BN19" s="9">
        <v>183372.72</v>
      </c>
      <c r="BO19" s="9">
        <v>187318.57</v>
      </c>
      <c r="BP19" s="9">
        <v>192689.72</v>
      </c>
      <c r="BQ19" s="9">
        <v>196488.25</v>
      </c>
      <c r="BR19" s="9">
        <v>199939.96</v>
      </c>
      <c r="BS19" s="9">
        <v>206509.62</v>
      </c>
      <c r="BT19" s="9">
        <v>208026.37</v>
      </c>
      <c r="BU19" s="9">
        <v>226589.55</v>
      </c>
      <c r="BV19" s="9">
        <v>236966</v>
      </c>
      <c r="BW19" s="9">
        <v>216536.92</v>
      </c>
      <c r="BX19" s="9">
        <v>208852.88</v>
      </c>
      <c r="BY19" s="9">
        <v>208084.34</v>
      </c>
      <c r="BZ19" s="9">
        <v>190910.57</v>
      </c>
      <c r="CA19" s="9">
        <v>195109.54</v>
      </c>
      <c r="CB19" s="9">
        <v>196661.4</v>
      </c>
      <c r="CC19" s="9">
        <v>198062.31</v>
      </c>
      <c r="CD19" s="9">
        <v>201360.67</v>
      </c>
      <c r="CE19" s="9">
        <v>205295.41</v>
      </c>
      <c r="CF19" s="9">
        <v>222436.86</v>
      </c>
      <c r="CG19" s="9">
        <v>223214.74</v>
      </c>
      <c r="CH19" s="9">
        <v>225441.26</v>
      </c>
      <c r="CI19" s="9">
        <v>200070.68</v>
      </c>
      <c r="CJ19" s="9">
        <v>190292.37</v>
      </c>
      <c r="CK19" s="25">
        <v>183451.03</v>
      </c>
      <c r="CL19" s="25">
        <v>165527.87</v>
      </c>
      <c r="CM19" s="25">
        <v>169705.41</v>
      </c>
      <c r="CN19" s="25">
        <v>171598.07</v>
      </c>
      <c r="CO19" s="25">
        <v>171675.05</v>
      </c>
      <c r="CP19" s="10">
        <v>174179.87</v>
      </c>
      <c r="CQ19" s="10">
        <v>196037.68</v>
      </c>
      <c r="CR19" s="10">
        <v>201222.8</v>
      </c>
      <c r="CS19" s="10">
        <v>199351.59</v>
      </c>
      <c r="CT19" s="10">
        <v>182578.38</v>
      </c>
      <c r="CU19" s="10">
        <v>172974.49</v>
      </c>
      <c r="CV19" s="10">
        <v>168857.21</v>
      </c>
      <c r="CW19" s="10">
        <v>138236.38</v>
      </c>
      <c r="CX19" s="10">
        <v>139914.1</v>
      </c>
      <c r="CY19" s="10">
        <v>136897.97</v>
      </c>
      <c r="CZ19" s="10">
        <v>133154.15</v>
      </c>
      <c r="DA19" s="10">
        <v>141056.29</v>
      </c>
      <c r="DB19" s="10">
        <v>146472.87</v>
      </c>
      <c r="DC19" s="10">
        <v>171294.25</v>
      </c>
      <c r="DD19" s="10">
        <v>171543.28</v>
      </c>
      <c r="DE19" s="10">
        <v>155924.75</v>
      </c>
      <c r="DF19" s="10">
        <v>154498.1</v>
      </c>
      <c r="DG19" s="10">
        <v>152371.14000000001</v>
      </c>
      <c r="DH19" s="10">
        <v>120388.32</v>
      </c>
      <c r="DI19" s="10">
        <v>99920.19</v>
      </c>
      <c r="DJ19" s="10">
        <v>101238.88</v>
      </c>
      <c r="DK19" s="10">
        <v>105639.09</v>
      </c>
      <c r="DL19" s="10">
        <v>108992.54</v>
      </c>
      <c r="DM19" s="10">
        <v>112437.44</v>
      </c>
      <c r="DN19" s="10">
        <v>113633.69</v>
      </c>
      <c r="DO19" s="10">
        <v>115805.19</v>
      </c>
      <c r="DP19" s="10">
        <v>157672.74</v>
      </c>
      <c r="DQ19" s="10">
        <v>164947.21</v>
      </c>
      <c r="DR19" s="10">
        <v>154575.5</v>
      </c>
      <c r="DS19" s="10">
        <v>151253.48000000001</v>
      </c>
    </row>
    <row r="20" spans="1:123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26">
        <v>-49286.32</v>
      </c>
      <c r="K20" s="26">
        <v>-49286.32</v>
      </c>
      <c r="L20" s="26">
        <v>-49286.32</v>
      </c>
      <c r="M20" s="26">
        <v>-49286.32</v>
      </c>
      <c r="N20" s="26">
        <v>-49286.32</v>
      </c>
      <c r="O20" s="26">
        <v>-49286.32</v>
      </c>
      <c r="P20" s="26">
        <v>-49286.32</v>
      </c>
      <c r="Q20" s="93">
        <v>-49286.32</v>
      </c>
      <c r="R20" s="50">
        <v>-49286.32</v>
      </c>
      <c r="S20" s="50">
        <v>-49286.32</v>
      </c>
      <c r="T20" s="50">
        <v>-49286.32</v>
      </c>
      <c r="U20" s="50">
        <v>-49286.32</v>
      </c>
      <c r="V20" s="50">
        <v>-49286.32</v>
      </c>
      <c r="W20" s="50">
        <v>-49286.32</v>
      </c>
      <c r="X20" s="50">
        <v>-49286.32</v>
      </c>
      <c r="Y20" s="50">
        <v>-49286.32</v>
      </c>
      <c r="Z20" s="50">
        <v>-49286.32</v>
      </c>
      <c r="AA20" s="50">
        <v>-49286.32</v>
      </c>
      <c r="AB20" s="50">
        <v>-49286.32</v>
      </c>
      <c r="AC20" s="50">
        <v>-49286.32</v>
      </c>
      <c r="AD20" s="50">
        <v>-49286.32</v>
      </c>
      <c r="AE20" s="50">
        <v>-49286.32</v>
      </c>
      <c r="AF20" s="50">
        <v>-49286.32</v>
      </c>
      <c r="AG20" s="50">
        <v>-49286.32</v>
      </c>
      <c r="AH20" s="50">
        <v>-49286.32</v>
      </c>
      <c r="AI20" s="50">
        <v>-49286.32</v>
      </c>
      <c r="AJ20" s="50">
        <v>-49286.32</v>
      </c>
      <c r="AK20" s="50">
        <v>-49286.32</v>
      </c>
      <c r="AL20" s="50">
        <v>-49286.32</v>
      </c>
      <c r="AM20" s="50">
        <v>-49286.32</v>
      </c>
      <c r="AN20" s="50">
        <v>-49286.32</v>
      </c>
      <c r="AO20" s="50">
        <v>-49286.32</v>
      </c>
      <c r="AP20" s="50">
        <v>-49286.32</v>
      </c>
      <c r="AQ20" s="50">
        <v>-49286.32</v>
      </c>
      <c r="AR20" s="50">
        <v>-49286.32</v>
      </c>
      <c r="AS20" s="50">
        <v>-49286.32</v>
      </c>
      <c r="AT20" s="50">
        <v>-49286.32</v>
      </c>
      <c r="AU20" s="50">
        <v>-49286.32</v>
      </c>
      <c r="AV20" s="50">
        <v>-49286.32</v>
      </c>
      <c r="AW20" s="50">
        <v>-49286.32</v>
      </c>
      <c r="AX20" s="50">
        <v>-49286.32</v>
      </c>
      <c r="AY20" s="50">
        <v>-49286.32</v>
      </c>
      <c r="AZ20" s="50">
        <v>-49286.32</v>
      </c>
      <c r="BA20" s="50">
        <v>-49286.32</v>
      </c>
      <c r="BB20" s="50">
        <v>-49286.32</v>
      </c>
      <c r="BC20" s="50">
        <v>-49286.32</v>
      </c>
      <c r="BD20" s="18">
        <v>-49286.32</v>
      </c>
      <c r="BE20" s="18">
        <v>-49286.32</v>
      </c>
      <c r="BF20" s="26">
        <v>-49286.32</v>
      </c>
      <c r="BG20" s="9">
        <v>-49286.32</v>
      </c>
      <c r="BH20" s="9">
        <v>-52772.84</v>
      </c>
      <c r="BI20" s="11">
        <v>-52772.84</v>
      </c>
      <c r="BJ20" s="9">
        <v>-52772.84</v>
      </c>
      <c r="BK20" s="9">
        <v>-52772.84</v>
      </c>
      <c r="BL20" s="9">
        <v>-52772.84</v>
      </c>
      <c r="BM20" s="9">
        <v>-49435.3</v>
      </c>
      <c r="BN20" s="9">
        <v>-49435.3</v>
      </c>
      <c r="BO20" s="9">
        <v>-49435.3</v>
      </c>
      <c r="BP20" s="9">
        <v>-49435.3</v>
      </c>
      <c r="BQ20" s="9">
        <v>-49435.3</v>
      </c>
      <c r="BR20" s="9">
        <v>-49435.3</v>
      </c>
      <c r="BS20" s="9">
        <v>-49435.3</v>
      </c>
      <c r="BT20" s="9">
        <v>-49435.3</v>
      </c>
      <c r="BU20" s="9">
        <v>-49435.3</v>
      </c>
      <c r="BV20" s="9">
        <v>-49435.3</v>
      </c>
      <c r="BW20" s="9">
        <v>-49435.3</v>
      </c>
      <c r="BX20" s="9">
        <v>-49435.3</v>
      </c>
      <c r="BY20" s="9">
        <v>-49532.62</v>
      </c>
      <c r="BZ20" s="9">
        <v>-49532.62</v>
      </c>
      <c r="CA20" s="9">
        <v>-49532.62</v>
      </c>
      <c r="CB20" s="9">
        <v>-49532.62</v>
      </c>
      <c r="CC20" s="9">
        <v>-49532.62</v>
      </c>
      <c r="CD20" s="9">
        <v>-49532.62</v>
      </c>
      <c r="CE20" s="9">
        <v>-49532.62</v>
      </c>
      <c r="CF20" s="9">
        <v>-49532.62</v>
      </c>
      <c r="CG20" s="9">
        <v>-49532.62</v>
      </c>
      <c r="CH20" s="9">
        <v>-49532.62</v>
      </c>
      <c r="CI20" s="9">
        <v>-49532.62</v>
      </c>
      <c r="CJ20" s="9">
        <v>-49532.62</v>
      </c>
      <c r="CK20" s="26">
        <v>-50647.44</v>
      </c>
      <c r="CL20" s="26">
        <v>-48110.63</v>
      </c>
      <c r="CM20" s="26">
        <v>-47041.58</v>
      </c>
      <c r="CN20" s="26">
        <v>-47041.58</v>
      </c>
      <c r="CO20" s="26">
        <v>-47041.58</v>
      </c>
      <c r="CP20" s="10">
        <v>-47041.58</v>
      </c>
      <c r="CQ20" s="10">
        <v>-47041.58</v>
      </c>
      <c r="CR20" s="10">
        <v>-47041.58</v>
      </c>
      <c r="CS20" s="10">
        <v>-47041.58</v>
      </c>
      <c r="CT20" s="10">
        <v>-47041.58</v>
      </c>
      <c r="CU20" s="10">
        <v>-47041.58</v>
      </c>
      <c r="CV20" s="10">
        <v>-47041.58</v>
      </c>
      <c r="CW20" s="10">
        <v>-46210.35</v>
      </c>
      <c r="CX20" s="10">
        <v>-46210.35</v>
      </c>
      <c r="CY20" s="10">
        <v>-46210.35</v>
      </c>
      <c r="CZ20" s="10">
        <v>-46210.35</v>
      </c>
      <c r="DA20" s="10">
        <v>-46210.35</v>
      </c>
      <c r="DB20" s="10">
        <v>-46210.35</v>
      </c>
      <c r="DC20" s="10">
        <v>-46210.35</v>
      </c>
      <c r="DD20" s="10">
        <v>-46210.35</v>
      </c>
      <c r="DE20" s="10">
        <v>-46210.35</v>
      </c>
      <c r="DF20" s="10">
        <v>-46210.35</v>
      </c>
      <c r="DG20" s="10">
        <v>-46210.35</v>
      </c>
      <c r="DH20" s="10">
        <v>-47919.53</v>
      </c>
      <c r="DI20" s="10">
        <v>-47919.53</v>
      </c>
      <c r="DJ20" s="10">
        <v>-47919.53</v>
      </c>
      <c r="DK20" s="10">
        <v>-47919.53</v>
      </c>
      <c r="DL20" s="10">
        <v>-47919.53</v>
      </c>
      <c r="DM20" s="10">
        <v>-47919.53</v>
      </c>
      <c r="DN20" s="10">
        <v>-47919.53</v>
      </c>
      <c r="DO20" s="10">
        <v>-47919.53</v>
      </c>
      <c r="DP20" s="10">
        <v>-47919.53</v>
      </c>
      <c r="DQ20" s="10">
        <v>-47919.53</v>
      </c>
      <c r="DR20" s="10">
        <v>-47919.53</v>
      </c>
      <c r="DS20" s="10">
        <v>-47919.53</v>
      </c>
    </row>
    <row r="21" spans="1:123" ht="15.75" customHeight="1" x14ac:dyDescent="0.25">
      <c r="A21" s="1" t="s">
        <v>45</v>
      </c>
      <c r="E21" s="28">
        <f t="shared" ref="E21:F21" si="46">SUM(E19:E20)</f>
        <v>157316.54999999999</v>
      </c>
      <c r="F21" s="28">
        <f t="shared" si="46"/>
        <v>156432.57</v>
      </c>
      <c r="G21" s="28">
        <f t="shared" ref="G21:H21" si="47">SUM(G19:G20)</f>
        <v>159039.34</v>
      </c>
      <c r="H21" s="28">
        <f t="shared" si="47"/>
        <v>163306.91999999998</v>
      </c>
      <c r="I21" s="28">
        <f t="shared" ref="I21:J21" si="48">SUM(I19:I20)</f>
        <v>175277.87</v>
      </c>
      <c r="J21" s="28">
        <f t="shared" si="48"/>
        <v>172407.06</v>
      </c>
      <c r="K21" s="28">
        <f t="shared" ref="K21:L21" si="49">SUM(K19:K20)</f>
        <v>179198.81</v>
      </c>
      <c r="L21" s="28">
        <f t="shared" si="49"/>
        <v>198426.37</v>
      </c>
      <c r="M21" s="28">
        <f t="shared" ref="M21:N21" si="50">SUM(M19:M20)</f>
        <v>181841.94</v>
      </c>
      <c r="N21" s="28">
        <f t="shared" si="50"/>
        <v>177656.4</v>
      </c>
      <c r="O21" s="28">
        <f t="shared" ref="O21:P21" si="51">SUM(O19:O20)</f>
        <v>181859.28</v>
      </c>
      <c r="P21" s="28">
        <f t="shared" si="51"/>
        <v>182448.3</v>
      </c>
      <c r="Q21" s="95">
        <f t="shared" ref="Q21:CB21" si="52">SUM(Q19:Q20)</f>
        <v>181583.78</v>
      </c>
      <c r="R21" s="82">
        <f t="shared" si="52"/>
        <v>173635.07</v>
      </c>
      <c r="S21" s="82">
        <f t="shared" si="52"/>
        <v>175790.65</v>
      </c>
      <c r="T21" s="82">
        <f t="shared" si="52"/>
        <v>178881.25</v>
      </c>
      <c r="U21" s="82">
        <f t="shared" si="52"/>
        <v>177749.49</v>
      </c>
      <c r="V21" s="28">
        <f t="shared" si="52"/>
        <v>179982.63</v>
      </c>
      <c r="W21" s="82">
        <f t="shared" si="52"/>
        <v>185330.85</v>
      </c>
      <c r="X21" s="82">
        <f t="shared" si="52"/>
        <v>191504.5</v>
      </c>
      <c r="Y21" s="82">
        <f t="shared" si="52"/>
        <v>199780.6</v>
      </c>
      <c r="Z21" s="28">
        <f t="shared" si="52"/>
        <v>193833.88999999998</v>
      </c>
      <c r="AA21" s="28">
        <f t="shared" si="52"/>
        <v>191845.13999999998</v>
      </c>
      <c r="AB21" s="28">
        <f t="shared" si="52"/>
        <v>192747.33</v>
      </c>
      <c r="AC21" s="28">
        <f t="shared" si="52"/>
        <v>195438.78</v>
      </c>
      <c r="AD21" s="28">
        <f t="shared" si="52"/>
        <v>177339.22999999998</v>
      </c>
      <c r="AE21" s="28">
        <f t="shared" si="52"/>
        <v>177321.96</v>
      </c>
      <c r="AF21" s="28">
        <f t="shared" si="52"/>
        <v>180224.00999999998</v>
      </c>
      <c r="AG21" s="28">
        <f t="shared" si="52"/>
        <v>183224.97</v>
      </c>
      <c r="AH21" s="28">
        <f t="shared" si="52"/>
        <v>184999.81</v>
      </c>
      <c r="AI21" s="28">
        <f t="shared" si="52"/>
        <v>186885.91</v>
      </c>
      <c r="AJ21" s="28">
        <f t="shared" si="52"/>
        <v>193470.61</v>
      </c>
      <c r="AK21" s="28">
        <f t="shared" si="52"/>
        <v>198415.74</v>
      </c>
      <c r="AL21" s="28">
        <f t="shared" si="52"/>
        <v>186591.55</v>
      </c>
      <c r="AM21" s="28">
        <f t="shared" si="52"/>
        <v>185176.12</v>
      </c>
      <c r="AN21" s="28">
        <f t="shared" si="52"/>
        <v>183264.75</v>
      </c>
      <c r="AO21" s="28">
        <f t="shared" si="52"/>
        <v>177937.13999999998</v>
      </c>
      <c r="AP21" s="28">
        <f t="shared" si="52"/>
        <v>173004.96</v>
      </c>
      <c r="AQ21" s="28">
        <f t="shared" si="52"/>
        <v>173678.09</v>
      </c>
      <c r="AR21" s="28">
        <f t="shared" si="52"/>
        <v>170778.77</v>
      </c>
      <c r="AS21" s="28">
        <f t="shared" si="52"/>
        <v>170159.25999999998</v>
      </c>
      <c r="AT21" s="28">
        <f t="shared" si="52"/>
        <v>172619.13999999998</v>
      </c>
      <c r="AU21" s="28">
        <f t="shared" si="52"/>
        <v>172090</v>
      </c>
      <c r="AV21" s="28">
        <f t="shared" si="52"/>
        <v>177254.55</v>
      </c>
      <c r="AW21" s="28">
        <f t="shared" si="52"/>
        <v>179251.13999999998</v>
      </c>
      <c r="AX21" s="28">
        <f t="shared" si="52"/>
        <v>168952.44</v>
      </c>
      <c r="AY21" s="28">
        <f t="shared" si="52"/>
        <v>168344.9</v>
      </c>
      <c r="AZ21" s="28">
        <f t="shared" si="52"/>
        <v>166513.47</v>
      </c>
      <c r="BA21" s="28">
        <f t="shared" si="52"/>
        <v>164431.18</v>
      </c>
      <c r="BB21" s="28">
        <f t="shared" si="52"/>
        <v>151168.84</v>
      </c>
      <c r="BC21" s="28">
        <f t="shared" si="52"/>
        <v>149887.75999999998</v>
      </c>
      <c r="BD21" s="28">
        <f t="shared" si="52"/>
        <v>149585.59</v>
      </c>
      <c r="BE21" s="28">
        <f t="shared" si="52"/>
        <v>152346.71</v>
      </c>
      <c r="BF21" s="57">
        <f t="shared" si="52"/>
        <v>149141.03999999998</v>
      </c>
      <c r="BG21" s="28">
        <f t="shared" si="52"/>
        <v>152478.43</v>
      </c>
      <c r="BH21" s="28">
        <f t="shared" si="52"/>
        <v>151317.34</v>
      </c>
      <c r="BI21" s="58">
        <f t="shared" si="52"/>
        <v>152038.32</v>
      </c>
      <c r="BJ21" s="28">
        <f t="shared" si="52"/>
        <v>154653.85</v>
      </c>
      <c r="BK21" s="28">
        <f t="shared" si="52"/>
        <v>155898.82</v>
      </c>
      <c r="BL21" s="28">
        <f t="shared" si="52"/>
        <v>153058.57</v>
      </c>
      <c r="BM21" s="28">
        <f t="shared" si="52"/>
        <v>146964.96999999997</v>
      </c>
      <c r="BN21" s="28">
        <f t="shared" si="52"/>
        <v>133937.41999999998</v>
      </c>
      <c r="BO21" s="28">
        <f t="shared" si="52"/>
        <v>137883.27000000002</v>
      </c>
      <c r="BP21" s="28">
        <f t="shared" si="52"/>
        <v>143254.41999999998</v>
      </c>
      <c r="BQ21" s="28">
        <f t="shared" si="52"/>
        <v>147052.95000000001</v>
      </c>
      <c r="BR21" s="28">
        <f t="shared" si="52"/>
        <v>150504.65999999997</v>
      </c>
      <c r="BS21" s="28">
        <f t="shared" si="52"/>
        <v>157074.32</v>
      </c>
      <c r="BT21" s="28">
        <f t="shared" si="52"/>
        <v>158591.07</v>
      </c>
      <c r="BU21" s="28">
        <f t="shared" si="52"/>
        <v>177154.25</v>
      </c>
      <c r="BV21" s="28">
        <f t="shared" si="52"/>
        <v>187530.7</v>
      </c>
      <c r="BW21" s="28">
        <f t="shared" si="52"/>
        <v>167101.62</v>
      </c>
      <c r="BX21" s="28">
        <f t="shared" si="52"/>
        <v>159417.58000000002</v>
      </c>
      <c r="BY21" s="28">
        <f t="shared" si="52"/>
        <v>158551.72</v>
      </c>
      <c r="BZ21" s="28">
        <f t="shared" si="52"/>
        <v>141377.95000000001</v>
      </c>
      <c r="CA21" s="28">
        <f t="shared" si="52"/>
        <v>145576.92000000001</v>
      </c>
      <c r="CB21" s="28">
        <f t="shared" si="52"/>
        <v>147128.78</v>
      </c>
      <c r="CC21" s="28">
        <f t="shared" ref="CC21:DS21" si="53">SUM(CC19:CC20)</f>
        <v>148529.69</v>
      </c>
      <c r="CD21" s="28">
        <f t="shared" si="53"/>
        <v>151828.05000000002</v>
      </c>
      <c r="CE21" s="28">
        <f t="shared" si="53"/>
        <v>155762.79</v>
      </c>
      <c r="CF21" s="28">
        <f t="shared" si="53"/>
        <v>172904.24</v>
      </c>
      <c r="CG21" s="28">
        <f t="shared" si="53"/>
        <v>173682.12</v>
      </c>
      <c r="CH21" s="28">
        <f t="shared" si="53"/>
        <v>175908.64</v>
      </c>
      <c r="CI21" s="28">
        <f t="shared" si="53"/>
        <v>150538.06</v>
      </c>
      <c r="CJ21" s="28">
        <f t="shared" si="53"/>
        <v>140759.75</v>
      </c>
      <c r="CK21" s="28">
        <f t="shared" si="53"/>
        <v>132803.59</v>
      </c>
      <c r="CL21" s="28">
        <f t="shared" si="53"/>
        <v>117417.23999999999</v>
      </c>
      <c r="CM21" s="28">
        <f t="shared" si="53"/>
        <v>122663.83</v>
      </c>
      <c r="CN21" s="28">
        <f t="shared" si="53"/>
        <v>124556.49</v>
      </c>
      <c r="CO21" s="28">
        <f t="shared" si="53"/>
        <v>124633.46999999999</v>
      </c>
      <c r="CP21" s="28">
        <f t="shared" si="53"/>
        <v>127138.29</v>
      </c>
      <c r="CQ21" s="28">
        <f t="shared" si="53"/>
        <v>148996.09999999998</v>
      </c>
      <c r="CR21" s="28">
        <f t="shared" si="53"/>
        <v>154181.21999999997</v>
      </c>
      <c r="CS21" s="28">
        <f t="shared" si="53"/>
        <v>152310.01</v>
      </c>
      <c r="CT21" s="28">
        <f t="shared" si="53"/>
        <v>135536.79999999999</v>
      </c>
      <c r="CU21" s="28">
        <f t="shared" si="53"/>
        <v>125932.90999999999</v>
      </c>
      <c r="CV21" s="28">
        <f t="shared" si="53"/>
        <v>121815.62999999999</v>
      </c>
      <c r="CW21" s="28">
        <f t="shared" si="53"/>
        <v>92026.03</v>
      </c>
      <c r="CX21" s="28">
        <f t="shared" si="53"/>
        <v>93703.75</v>
      </c>
      <c r="CY21" s="28">
        <f t="shared" si="53"/>
        <v>90687.62</v>
      </c>
      <c r="CZ21" s="28">
        <f t="shared" si="53"/>
        <v>86943.799999999988</v>
      </c>
      <c r="DA21" s="28">
        <f t="shared" si="53"/>
        <v>94845.94</v>
      </c>
      <c r="DB21" s="28">
        <f t="shared" si="53"/>
        <v>100262.51999999999</v>
      </c>
      <c r="DC21" s="28">
        <f t="shared" si="53"/>
        <v>125083.9</v>
      </c>
      <c r="DD21" s="28">
        <f t="shared" si="53"/>
        <v>125332.93</v>
      </c>
      <c r="DE21" s="28">
        <f t="shared" si="53"/>
        <v>109714.4</v>
      </c>
      <c r="DF21" s="28">
        <f t="shared" si="53"/>
        <v>108287.75</v>
      </c>
      <c r="DG21" s="28">
        <f t="shared" si="53"/>
        <v>106160.79000000001</v>
      </c>
      <c r="DH21" s="28">
        <f t="shared" si="53"/>
        <v>72468.790000000008</v>
      </c>
      <c r="DI21" s="28">
        <f t="shared" si="53"/>
        <v>52000.66</v>
      </c>
      <c r="DJ21" s="28">
        <f t="shared" si="53"/>
        <v>53319.350000000006</v>
      </c>
      <c r="DK21" s="28">
        <f t="shared" si="53"/>
        <v>57719.56</v>
      </c>
      <c r="DL21" s="28">
        <f t="shared" si="53"/>
        <v>61073.009999999995</v>
      </c>
      <c r="DM21" s="28">
        <f t="shared" si="53"/>
        <v>64517.91</v>
      </c>
      <c r="DN21" s="28">
        <f t="shared" si="53"/>
        <v>65714.16</v>
      </c>
      <c r="DO21" s="28">
        <f t="shared" si="53"/>
        <v>67885.66</v>
      </c>
      <c r="DP21" s="28">
        <f t="shared" si="53"/>
        <v>109753.20999999999</v>
      </c>
      <c r="DQ21" s="28">
        <f t="shared" si="53"/>
        <v>117027.68</v>
      </c>
      <c r="DR21" s="28">
        <f t="shared" si="53"/>
        <v>106655.97</v>
      </c>
      <c r="DS21" s="28">
        <f t="shared" si="53"/>
        <v>103333.95000000001</v>
      </c>
    </row>
    <row r="22" spans="1:123" ht="15.75" customHeight="1" x14ac:dyDescent="0.25"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89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7"/>
      <c r="AV22" s="17"/>
      <c r="AW22" s="17"/>
      <c r="AX22" s="15"/>
      <c r="AY22" s="17"/>
      <c r="AZ22" s="17"/>
      <c r="BA22" s="17"/>
      <c r="BB22" s="17"/>
      <c r="BC22" s="17"/>
      <c r="BD22" s="14"/>
      <c r="BE22" s="16"/>
      <c r="BF22" s="1"/>
      <c r="BG22" s="1"/>
    </row>
    <row r="23" spans="1:123" ht="15.75" customHeight="1" x14ac:dyDescent="0.25">
      <c r="A23" s="75" t="s">
        <v>51</v>
      </c>
      <c r="D23" s="1" t="s">
        <v>52</v>
      </c>
      <c r="E23" s="25">
        <v>12659.6</v>
      </c>
      <c r="F23" s="25">
        <v>12039</v>
      </c>
      <c r="G23" s="25">
        <v>7392.3</v>
      </c>
      <c r="H23" s="25">
        <v>7392.3</v>
      </c>
      <c r="I23" s="25">
        <v>16669.060000000001</v>
      </c>
      <c r="J23" s="25">
        <v>16669.060000000001</v>
      </c>
      <c r="K23" s="25">
        <v>17197.54</v>
      </c>
      <c r="L23" s="25">
        <v>29077.48</v>
      </c>
      <c r="M23" s="25">
        <v>8091.58</v>
      </c>
      <c r="N23" s="25">
        <v>-2403.9299999999998</v>
      </c>
      <c r="O23" s="25">
        <v>-818.93</v>
      </c>
      <c r="P23" s="25">
        <v>-818.93</v>
      </c>
      <c r="Q23" s="92">
        <v>17389.330000000002</v>
      </c>
      <c r="R23" s="45">
        <v>17367.07</v>
      </c>
      <c r="S23" s="45">
        <v>14080.98</v>
      </c>
      <c r="T23" s="45">
        <v>14080.98</v>
      </c>
      <c r="U23" s="45">
        <v>14080.98</v>
      </c>
      <c r="V23" s="45">
        <v>14080.98</v>
      </c>
      <c r="W23" s="45">
        <v>14080.98</v>
      </c>
      <c r="X23" s="45">
        <v>14080.98</v>
      </c>
      <c r="Y23" s="45">
        <v>15430.98</v>
      </c>
      <c r="Z23" s="45">
        <v>6570.2</v>
      </c>
      <c r="AA23" s="45">
        <v>-55.23</v>
      </c>
      <c r="AB23" s="45">
        <v>-55.23</v>
      </c>
      <c r="AC23" s="45">
        <v>16753.84</v>
      </c>
      <c r="AD23" s="45">
        <v>16758.93</v>
      </c>
      <c r="AE23" s="45">
        <v>16916.72</v>
      </c>
      <c r="AF23" s="45">
        <v>16925.97</v>
      </c>
      <c r="AG23" s="45">
        <v>16925.97</v>
      </c>
      <c r="AH23" s="45">
        <v>16925.97</v>
      </c>
      <c r="AI23" s="45">
        <v>16925.97</v>
      </c>
      <c r="AJ23" s="45">
        <v>16925.97</v>
      </c>
      <c r="AK23" s="45">
        <v>19332.150000000001</v>
      </c>
      <c r="AL23" s="45">
        <v>5827.48</v>
      </c>
      <c r="AM23" s="45">
        <v>-220.91</v>
      </c>
      <c r="AN23" s="45">
        <v>-220.91</v>
      </c>
      <c r="AO23" s="45">
        <v>12075.39</v>
      </c>
      <c r="AP23" s="45">
        <v>12085.57</v>
      </c>
      <c r="AQ23" s="45">
        <v>12186.24</v>
      </c>
      <c r="AR23" s="45">
        <v>12314.2</v>
      </c>
      <c r="AS23" s="45">
        <v>12314.2</v>
      </c>
      <c r="AT23" s="45">
        <v>12314.2</v>
      </c>
      <c r="AU23" s="45">
        <v>12314.2</v>
      </c>
      <c r="AV23" s="45">
        <v>12314.2</v>
      </c>
      <c r="AW23" s="45">
        <v>12680.2</v>
      </c>
      <c r="AX23" s="45">
        <v>2052.88</v>
      </c>
      <c r="AY23" s="45">
        <v>0</v>
      </c>
      <c r="AZ23" s="45">
        <v>0</v>
      </c>
      <c r="BA23" s="45">
        <v>9553.5400000000009</v>
      </c>
      <c r="BB23" s="45">
        <v>9872.83</v>
      </c>
      <c r="BC23" s="45">
        <v>9891.52</v>
      </c>
      <c r="BD23" s="19">
        <v>9914.73</v>
      </c>
      <c r="BE23" s="19">
        <v>9914.73</v>
      </c>
      <c r="BF23" s="25">
        <v>9914.73</v>
      </c>
      <c r="BG23" s="25">
        <v>9914.73</v>
      </c>
      <c r="BH23" s="25">
        <v>9977.82</v>
      </c>
      <c r="BI23" s="25"/>
      <c r="BJ23" s="25"/>
      <c r="BK23" s="25"/>
      <c r="BL23" s="25"/>
      <c r="BM23" s="25">
        <v>2159.13</v>
      </c>
      <c r="BN23" s="25">
        <v>2059.13</v>
      </c>
      <c r="BO23" s="25">
        <v>2059.13</v>
      </c>
      <c r="BP23" s="25">
        <v>2059.13</v>
      </c>
      <c r="BQ23" s="25">
        <v>2059.13</v>
      </c>
      <c r="BR23" s="25">
        <v>2059.13</v>
      </c>
      <c r="BS23" s="25">
        <v>2059.13</v>
      </c>
      <c r="BT23" s="25">
        <v>2059.13</v>
      </c>
      <c r="BU23" s="25"/>
      <c r="BV23" s="25"/>
      <c r="BW23" s="25"/>
      <c r="BX23" s="25"/>
      <c r="BY23" s="25">
        <v>15327.16</v>
      </c>
      <c r="BZ23" s="25">
        <v>15327.16</v>
      </c>
      <c r="CA23" s="25">
        <v>15327.16</v>
      </c>
      <c r="CB23" s="25">
        <v>15327.16</v>
      </c>
      <c r="CC23" s="25">
        <v>15327.16</v>
      </c>
      <c r="CD23" s="25">
        <v>15327.16</v>
      </c>
      <c r="CE23" s="25">
        <v>15327.16</v>
      </c>
      <c r="CF23" s="25">
        <v>15327.16</v>
      </c>
      <c r="CK23" s="59">
        <v>11273.89</v>
      </c>
      <c r="CL23" s="59">
        <v>11273.89</v>
      </c>
      <c r="CM23" s="59">
        <v>11273.89</v>
      </c>
      <c r="CN23" s="59">
        <v>11273.89</v>
      </c>
      <c r="CO23" s="59">
        <v>11273.89</v>
      </c>
      <c r="CP23" s="59">
        <v>11273.89</v>
      </c>
      <c r="CQ23" s="59"/>
      <c r="CR23" s="59"/>
      <c r="CS23" s="59"/>
      <c r="CT23" s="59"/>
      <c r="CU23" s="59"/>
      <c r="CV23" s="59"/>
      <c r="CW23" s="59">
        <v>12836.49</v>
      </c>
      <c r="CX23" s="59">
        <v>13124.2</v>
      </c>
      <c r="CY23" s="59">
        <v>13755</v>
      </c>
      <c r="CZ23" s="59">
        <v>13755</v>
      </c>
      <c r="DA23" s="59">
        <v>13755</v>
      </c>
      <c r="DB23" s="59">
        <v>15375.21</v>
      </c>
      <c r="DC23" s="60" t="s">
        <v>53</v>
      </c>
      <c r="DD23" s="60" t="s">
        <v>53</v>
      </c>
      <c r="DE23" s="60" t="s">
        <v>53</v>
      </c>
      <c r="DF23" s="60" t="s">
        <v>53</v>
      </c>
      <c r="DG23" s="60" t="s">
        <v>53</v>
      </c>
      <c r="DH23" s="59">
        <v>-17550.150000000001</v>
      </c>
      <c r="DI23" s="59">
        <v>-17550.150000000001</v>
      </c>
      <c r="DJ23" s="59">
        <v>-17550.150000000001</v>
      </c>
      <c r="DK23" s="59">
        <v>-15778.35</v>
      </c>
      <c r="DL23" s="59">
        <v>-15778.35</v>
      </c>
      <c r="DM23" s="59">
        <v>-15778.35</v>
      </c>
      <c r="DN23" s="59">
        <v>-15778.35</v>
      </c>
      <c r="DO23" s="59">
        <v>-15191.85</v>
      </c>
      <c r="DP23" s="60" t="s">
        <v>53</v>
      </c>
      <c r="DQ23" s="60" t="s">
        <v>53</v>
      </c>
      <c r="DR23" s="60" t="s">
        <v>53</v>
      </c>
      <c r="DS23" s="60" t="s">
        <v>53</v>
      </c>
    </row>
    <row r="24" spans="1:123" ht="15.75" customHeight="1" x14ac:dyDescent="0.25">
      <c r="V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Q24" s="17"/>
      <c r="AR24" s="17"/>
      <c r="AS24" s="17"/>
      <c r="AT24" s="17"/>
      <c r="AU24" s="17"/>
      <c r="AV24" s="17"/>
      <c r="AW24" s="17"/>
      <c r="AY24" s="17"/>
      <c r="AZ24" s="17"/>
      <c r="BA24" s="17"/>
      <c r="BB24" s="17"/>
      <c r="BC24" s="17"/>
      <c r="BD24" s="14"/>
      <c r="BE24" s="16"/>
      <c r="BF24" s="1"/>
      <c r="BG24" s="1"/>
    </row>
    <row r="25" spans="1:123" ht="15.75" customHeight="1" x14ac:dyDescent="0.25">
      <c r="BC25" s="17"/>
      <c r="BD25" s="14"/>
      <c r="BE25" s="16"/>
      <c r="BF25" s="1"/>
      <c r="BG25" s="1"/>
      <c r="CW25" s="48"/>
      <c r="CX25" s="48"/>
    </row>
    <row r="26" spans="1:123" ht="15.75" customHeight="1" x14ac:dyDescent="0.25">
      <c r="D26" s="1" t="s">
        <v>54</v>
      </c>
      <c r="BC26" s="17"/>
      <c r="BD26" s="14"/>
      <c r="BE26" s="16"/>
      <c r="BF26" s="1"/>
      <c r="BG26" s="1"/>
      <c r="CP26" s="61"/>
      <c r="CQ26" s="61"/>
      <c r="CR26" s="61"/>
      <c r="CS26" s="61"/>
      <c r="CT26" s="61"/>
      <c r="CU26" s="61"/>
      <c r="CV26" s="61"/>
      <c r="DF26" s="48"/>
    </row>
    <row r="27" spans="1:123" ht="15.75" customHeight="1" x14ac:dyDescent="0.25">
      <c r="BC27" s="17"/>
      <c r="BD27" s="14"/>
      <c r="BE27" s="16"/>
      <c r="BF27" s="1"/>
      <c r="BG27" s="1"/>
    </row>
    <row r="28" spans="1:123" ht="15.75" customHeight="1" x14ac:dyDescent="0.25">
      <c r="BC28" s="17"/>
      <c r="BD28" s="14"/>
      <c r="BE28" s="16"/>
      <c r="BF28" s="15"/>
      <c r="BG28" s="1"/>
    </row>
    <row r="29" spans="1:123" ht="15.75" customHeight="1" x14ac:dyDescent="0.25">
      <c r="BC29" s="17"/>
      <c r="BD29" s="14"/>
      <c r="BE29" s="16"/>
      <c r="BF29" s="1"/>
      <c r="BG29" s="1"/>
    </row>
    <row r="30" spans="1:123" ht="15.75" customHeight="1" x14ac:dyDescent="0.25">
      <c r="BC30" s="17"/>
      <c r="BD30" s="14"/>
      <c r="BE30" s="16"/>
      <c r="BF30" s="1"/>
      <c r="BG30" s="1"/>
      <c r="DF30" s="48"/>
    </row>
    <row r="31" spans="1:123" ht="15.75" customHeight="1" x14ac:dyDescent="0.25">
      <c r="BC31" s="17"/>
      <c r="BD31" s="14"/>
      <c r="BE31" s="16"/>
      <c r="BF31" s="1"/>
      <c r="BG31" s="1"/>
    </row>
    <row r="32" spans="1:123" ht="15.75" customHeight="1" x14ac:dyDescent="0.25">
      <c r="BC32" s="17"/>
      <c r="BD32" s="14"/>
      <c r="BE32" s="16"/>
      <c r="BF32" s="1"/>
      <c r="BG32" s="1"/>
    </row>
    <row r="33" spans="55:59" ht="15.75" customHeight="1" x14ac:dyDescent="0.25">
      <c r="BC33" s="17"/>
      <c r="BD33" s="14"/>
      <c r="BE33" s="16"/>
      <c r="BF33" s="1"/>
      <c r="BG33" s="1"/>
    </row>
    <row r="34" spans="55:59" ht="15.75" customHeight="1" x14ac:dyDescent="0.25">
      <c r="BC34" s="17"/>
      <c r="BD34" s="14"/>
      <c r="BE34" s="16"/>
      <c r="BF34" s="1"/>
      <c r="BG34" s="1"/>
    </row>
    <row r="35" spans="55:59" ht="15.75" customHeight="1" x14ac:dyDescent="0.25">
      <c r="BC35" s="17"/>
      <c r="BD35" s="14"/>
      <c r="BE35" s="16"/>
      <c r="BF35" s="1"/>
      <c r="BG35" s="1"/>
    </row>
    <row r="36" spans="55:59" ht="15.75" customHeight="1" x14ac:dyDescent="0.25">
      <c r="BC36" s="17"/>
      <c r="BD36" s="14"/>
      <c r="BE36" s="16"/>
      <c r="BF36" s="1"/>
      <c r="BG36" s="1"/>
    </row>
    <row r="37" spans="55:59" ht="15.75" customHeight="1" x14ac:dyDescent="0.25">
      <c r="BD37" s="6"/>
      <c r="BE37" s="7"/>
      <c r="BF37" s="1"/>
      <c r="BG37" s="1"/>
    </row>
    <row r="38" spans="55:59" ht="15.75" customHeight="1" x14ac:dyDescent="0.25">
      <c r="BD38" s="6"/>
      <c r="BE38" s="7"/>
      <c r="BF38" s="1"/>
      <c r="BG38" s="1"/>
    </row>
    <row r="39" spans="55:59" ht="15.75" customHeight="1" x14ac:dyDescent="0.25">
      <c r="BD39" s="6"/>
      <c r="BE39" s="7"/>
      <c r="BF39" s="1"/>
      <c r="BG39" s="1"/>
    </row>
    <row r="40" spans="55:59" ht="15.75" customHeight="1" x14ac:dyDescent="0.25">
      <c r="BD40" s="6"/>
      <c r="BE40" s="7"/>
      <c r="BF40" s="1"/>
      <c r="BG40" s="1"/>
    </row>
    <row r="41" spans="55:59" ht="15.75" customHeight="1" x14ac:dyDescent="0.25">
      <c r="BD41" s="6"/>
      <c r="BE41" s="7"/>
      <c r="BF41" s="1"/>
      <c r="BG41" s="1"/>
    </row>
    <row r="42" spans="55:59" ht="15.75" customHeight="1" x14ac:dyDescent="0.25">
      <c r="BD42" s="6"/>
      <c r="BE42" s="7"/>
      <c r="BF42" s="1"/>
      <c r="BG42" s="1"/>
    </row>
    <row r="43" spans="55:59" ht="15.75" customHeight="1" x14ac:dyDescent="0.25">
      <c r="BD43" s="6"/>
      <c r="BE43" s="7"/>
      <c r="BF43" s="1"/>
      <c r="BG43" s="1"/>
    </row>
    <row r="44" spans="55:59" ht="15.75" customHeight="1" x14ac:dyDescent="0.25">
      <c r="BD44" s="6"/>
      <c r="BE44" s="7"/>
      <c r="BF44" s="1"/>
      <c r="BG44" s="1"/>
    </row>
    <row r="45" spans="55:59" ht="15.75" customHeight="1" x14ac:dyDescent="0.25">
      <c r="BD45" s="6"/>
      <c r="BE45" s="7"/>
      <c r="BF45" s="1"/>
      <c r="BG45" s="1"/>
    </row>
    <row r="46" spans="55:59" ht="15.75" customHeight="1" x14ac:dyDescent="0.25">
      <c r="BD46" s="6"/>
      <c r="BE46" s="7"/>
      <c r="BF46" s="1"/>
      <c r="BG46" s="1"/>
    </row>
    <row r="47" spans="55:59" ht="15.75" customHeight="1" x14ac:dyDescent="0.25">
      <c r="BD47" s="6"/>
      <c r="BE47" s="7"/>
      <c r="BF47" s="1"/>
      <c r="BG47" s="1"/>
    </row>
    <row r="48" spans="55:59" ht="15.75" customHeight="1" x14ac:dyDescent="0.25">
      <c r="BD48" s="6"/>
      <c r="BE48" s="7"/>
      <c r="BF48" s="1"/>
      <c r="BG48" s="1"/>
    </row>
    <row r="49" spans="56:59" ht="15.75" customHeight="1" x14ac:dyDescent="0.25">
      <c r="BD49" s="6"/>
      <c r="BE49" s="7"/>
      <c r="BF49" s="1"/>
      <c r="BG49" s="1"/>
    </row>
    <row r="50" spans="56:59" ht="15.75" customHeight="1" x14ac:dyDescent="0.25">
      <c r="BD50" s="6"/>
      <c r="BE50" s="7"/>
      <c r="BF50" s="1"/>
      <c r="BG50" s="1"/>
    </row>
    <row r="51" spans="56:59" ht="15.75" customHeight="1" x14ac:dyDescent="0.25">
      <c r="BD51" s="6"/>
      <c r="BE51" s="7"/>
      <c r="BF51" s="1"/>
      <c r="BG51" s="1"/>
    </row>
    <row r="52" spans="56:59" ht="15.75" customHeight="1" x14ac:dyDescent="0.25">
      <c r="BD52" s="6"/>
      <c r="BE52" s="7"/>
      <c r="BF52" s="1"/>
      <c r="BG52" s="1"/>
    </row>
    <row r="53" spans="56:59" ht="15.75" customHeight="1" x14ac:dyDescent="0.25">
      <c r="BD53" s="6"/>
      <c r="BE53" s="7"/>
      <c r="BF53" s="1"/>
      <c r="BG53" s="1"/>
    </row>
    <row r="54" spans="56:59" ht="15.75" customHeight="1" x14ac:dyDescent="0.25">
      <c r="BD54" s="6"/>
      <c r="BE54" s="7"/>
      <c r="BF54" s="1"/>
      <c r="BG54" s="1"/>
    </row>
    <row r="55" spans="56:59" ht="15.75" customHeight="1" x14ac:dyDescent="0.25">
      <c r="BD55" s="6"/>
      <c r="BE55" s="7"/>
      <c r="BF55" s="1"/>
      <c r="BG55" s="1"/>
    </row>
    <row r="56" spans="56:59" ht="15.75" customHeight="1" x14ac:dyDescent="0.25">
      <c r="BD56" s="6"/>
      <c r="BE56" s="7"/>
      <c r="BF56" s="1"/>
      <c r="BG56" s="1"/>
    </row>
    <row r="57" spans="56:59" ht="15.75" customHeight="1" x14ac:dyDescent="0.25">
      <c r="BD57" s="6"/>
      <c r="BE57" s="7"/>
      <c r="BF57" s="1"/>
      <c r="BG57" s="1"/>
    </row>
    <row r="58" spans="56:59" ht="15.75" customHeight="1" x14ac:dyDescent="0.25">
      <c r="BD58" s="6"/>
      <c r="BE58" s="7"/>
      <c r="BF58" s="1"/>
      <c r="BG58" s="1"/>
    </row>
    <row r="59" spans="56:59" ht="15.75" customHeight="1" x14ac:dyDescent="0.25">
      <c r="BD59" s="6"/>
      <c r="BE59" s="7"/>
      <c r="BF59" s="1"/>
      <c r="BG59" s="1"/>
    </row>
    <row r="60" spans="56:59" ht="15.75" customHeight="1" x14ac:dyDescent="0.25">
      <c r="BD60" s="6"/>
      <c r="BE60" s="7"/>
      <c r="BF60" s="1"/>
      <c r="BG60" s="1"/>
    </row>
    <row r="61" spans="56:59" ht="15.75" customHeight="1" x14ac:dyDescent="0.25">
      <c r="BD61" s="6"/>
      <c r="BE61" s="7"/>
      <c r="BF61" s="1"/>
      <c r="BG61" s="1"/>
    </row>
    <row r="62" spans="56:59" ht="15.75" customHeight="1" x14ac:dyDescent="0.25">
      <c r="BD62" s="6"/>
      <c r="BE62" s="7"/>
      <c r="BF62" s="1"/>
      <c r="BG62" s="1"/>
    </row>
    <row r="63" spans="56:59" ht="15.75" customHeight="1" x14ac:dyDescent="0.25">
      <c r="BD63" s="6"/>
      <c r="BE63" s="7"/>
      <c r="BF63" s="1"/>
      <c r="BG63" s="1"/>
    </row>
    <row r="64" spans="56:59" ht="15.75" customHeight="1" x14ac:dyDescent="0.25">
      <c r="BD64" s="6"/>
      <c r="BE64" s="7"/>
      <c r="BF64" s="1"/>
      <c r="BG64" s="1"/>
    </row>
    <row r="65" spans="56:59" ht="15.75" customHeight="1" x14ac:dyDescent="0.25">
      <c r="BD65" s="6"/>
      <c r="BE65" s="7"/>
      <c r="BF65" s="1"/>
      <c r="BG65" s="1"/>
    </row>
    <row r="66" spans="56:59" ht="15.75" customHeight="1" x14ac:dyDescent="0.25">
      <c r="BD66" s="6"/>
      <c r="BE66" s="7"/>
      <c r="BF66" s="1"/>
      <c r="BG66" s="1"/>
    </row>
    <row r="67" spans="56:59" ht="15.75" customHeight="1" x14ac:dyDescent="0.25">
      <c r="BD67" s="6"/>
      <c r="BE67" s="7"/>
      <c r="BF67" s="1"/>
      <c r="BG67" s="1"/>
    </row>
    <row r="68" spans="56:59" ht="15.75" customHeight="1" x14ac:dyDescent="0.25">
      <c r="BD68" s="6"/>
      <c r="BE68" s="7"/>
      <c r="BF68" s="1"/>
      <c r="BG68" s="1"/>
    </row>
    <row r="69" spans="56:59" ht="15.75" customHeight="1" x14ac:dyDescent="0.25">
      <c r="BD69" s="6"/>
      <c r="BE69" s="7"/>
      <c r="BF69" s="1"/>
      <c r="BG69" s="1"/>
    </row>
    <row r="70" spans="56:59" ht="15.75" customHeight="1" x14ac:dyDescent="0.25">
      <c r="BD70" s="6"/>
      <c r="BE70" s="7"/>
      <c r="BF70" s="1"/>
      <c r="BG70" s="1"/>
    </row>
    <row r="71" spans="56:59" ht="15.75" customHeight="1" x14ac:dyDescent="0.25">
      <c r="BD71" s="6"/>
      <c r="BE71" s="7"/>
      <c r="BF71" s="1"/>
      <c r="BG71" s="1"/>
    </row>
    <row r="72" spans="56:59" ht="15.75" customHeight="1" x14ac:dyDescent="0.25">
      <c r="BD72" s="6"/>
      <c r="BE72" s="7"/>
      <c r="BF72" s="1"/>
      <c r="BG72" s="1"/>
    </row>
    <row r="73" spans="56:59" ht="15.75" customHeight="1" x14ac:dyDescent="0.25">
      <c r="BD73" s="6"/>
      <c r="BE73" s="7"/>
      <c r="BF73" s="1"/>
      <c r="BG73" s="1"/>
    </row>
    <row r="74" spans="56:59" ht="15.75" customHeight="1" x14ac:dyDescent="0.25">
      <c r="BD74" s="6"/>
      <c r="BE74" s="7"/>
      <c r="BF74" s="1"/>
      <c r="BG74" s="1"/>
    </row>
    <row r="75" spans="56:59" ht="15.75" customHeight="1" x14ac:dyDescent="0.25">
      <c r="BD75" s="6"/>
      <c r="BE75" s="7"/>
      <c r="BF75" s="1"/>
      <c r="BG75" s="1"/>
    </row>
    <row r="76" spans="56:59" ht="15.75" customHeight="1" x14ac:dyDescent="0.25">
      <c r="BD76" s="6"/>
      <c r="BE76" s="7"/>
      <c r="BF76" s="1"/>
      <c r="BG76" s="1"/>
    </row>
    <row r="77" spans="56:59" ht="15.75" customHeight="1" x14ac:dyDescent="0.25">
      <c r="BD77" s="6"/>
      <c r="BE77" s="7"/>
      <c r="BF77" s="1"/>
      <c r="BG77" s="1"/>
    </row>
    <row r="78" spans="56:59" ht="15.75" customHeight="1" x14ac:dyDescent="0.25">
      <c r="BD78" s="6"/>
      <c r="BE78" s="7"/>
      <c r="BF78" s="1"/>
      <c r="BG78" s="1"/>
    </row>
    <row r="79" spans="56:59" ht="15.75" customHeight="1" x14ac:dyDescent="0.25">
      <c r="BD79" s="6"/>
      <c r="BE79" s="7"/>
      <c r="BF79" s="1"/>
      <c r="BG79" s="1"/>
    </row>
    <row r="80" spans="56:59" ht="15.75" customHeight="1" x14ac:dyDescent="0.25">
      <c r="BD80" s="6"/>
      <c r="BE80" s="7"/>
      <c r="BF80" s="1"/>
      <c r="BG80" s="1"/>
    </row>
    <row r="81" spans="56:59" ht="15.75" customHeight="1" x14ac:dyDescent="0.25">
      <c r="BD81" s="6"/>
      <c r="BE81" s="7"/>
      <c r="BF81" s="1"/>
      <c r="BG81" s="1"/>
    </row>
    <row r="82" spans="56:59" ht="15.75" customHeight="1" x14ac:dyDescent="0.25">
      <c r="BD82" s="6"/>
      <c r="BE82" s="7"/>
      <c r="BF82" s="1"/>
      <c r="BG82" s="1"/>
    </row>
    <row r="83" spans="56:59" ht="15.75" customHeight="1" x14ac:dyDescent="0.25">
      <c r="BD83" s="6"/>
      <c r="BE83" s="7"/>
      <c r="BF83" s="1"/>
      <c r="BG83" s="1"/>
    </row>
    <row r="84" spans="56:59" ht="15.75" customHeight="1" x14ac:dyDescent="0.25">
      <c r="BD84" s="6"/>
      <c r="BE84" s="7"/>
      <c r="BF84" s="1"/>
      <c r="BG84" s="1"/>
    </row>
    <row r="85" spans="56:59" ht="15.75" customHeight="1" x14ac:dyDescent="0.25">
      <c r="BD85" s="6"/>
      <c r="BE85" s="7"/>
      <c r="BF85" s="1"/>
      <c r="BG85" s="1"/>
    </row>
    <row r="86" spans="56:59" ht="15.75" customHeight="1" x14ac:dyDescent="0.25">
      <c r="BD86" s="6"/>
      <c r="BE86" s="7"/>
      <c r="BF86" s="1"/>
      <c r="BG86" s="1"/>
    </row>
    <row r="87" spans="56:59" ht="15.75" customHeight="1" x14ac:dyDescent="0.25">
      <c r="BD87" s="6"/>
      <c r="BE87" s="7"/>
      <c r="BF87" s="1"/>
      <c r="BG87" s="1"/>
    </row>
    <row r="88" spans="56:59" ht="15.75" customHeight="1" x14ac:dyDescent="0.25">
      <c r="BD88" s="6"/>
      <c r="BE88" s="7"/>
      <c r="BF88" s="1"/>
      <c r="BG88" s="1"/>
    </row>
    <row r="89" spans="56:59" ht="15.75" customHeight="1" x14ac:dyDescent="0.25">
      <c r="BD89" s="6"/>
      <c r="BE89" s="7"/>
      <c r="BF89" s="1"/>
      <c r="BG89" s="1"/>
    </row>
    <row r="90" spans="56:59" ht="15.75" customHeight="1" x14ac:dyDescent="0.25">
      <c r="BD90" s="6"/>
      <c r="BE90" s="7"/>
      <c r="BF90" s="1"/>
      <c r="BG90" s="1"/>
    </row>
    <row r="91" spans="56:59" ht="15.75" customHeight="1" x14ac:dyDescent="0.25">
      <c r="BD91" s="6"/>
      <c r="BE91" s="7"/>
      <c r="BF91" s="1"/>
      <c r="BG91" s="1"/>
    </row>
    <row r="92" spans="56:59" ht="15.75" customHeight="1" x14ac:dyDescent="0.25">
      <c r="BD92" s="6"/>
      <c r="BE92" s="7"/>
      <c r="BF92" s="1"/>
      <c r="BG92" s="1"/>
    </row>
    <row r="93" spans="56:59" ht="15.75" customHeight="1" x14ac:dyDescent="0.25">
      <c r="BD93" s="6"/>
      <c r="BE93" s="7"/>
      <c r="BF93" s="1"/>
      <c r="BG93" s="1"/>
    </row>
    <row r="94" spans="56:59" ht="15.75" customHeight="1" x14ac:dyDescent="0.25">
      <c r="BD94" s="6"/>
      <c r="BE94" s="7"/>
      <c r="BF94" s="1"/>
      <c r="BG94" s="1"/>
    </row>
    <row r="95" spans="56:59" ht="15.75" customHeight="1" x14ac:dyDescent="0.25">
      <c r="BD95" s="6"/>
      <c r="BE95" s="7"/>
      <c r="BF95" s="1"/>
      <c r="BG95" s="1"/>
    </row>
    <row r="96" spans="56:59" ht="15.75" customHeight="1" x14ac:dyDescent="0.25">
      <c r="BD96" s="6"/>
      <c r="BE96" s="7"/>
      <c r="BF96" s="1"/>
      <c r="BG96" s="1"/>
    </row>
    <row r="97" spans="56:59" ht="15.75" customHeight="1" x14ac:dyDescent="0.25">
      <c r="BD97" s="6"/>
      <c r="BE97" s="7"/>
      <c r="BF97" s="1"/>
      <c r="BG97" s="1"/>
    </row>
    <row r="98" spans="56:59" ht="15.75" customHeight="1" x14ac:dyDescent="0.25">
      <c r="BD98" s="6"/>
      <c r="BE98" s="7"/>
      <c r="BF98" s="1"/>
      <c r="BG98" s="1"/>
    </row>
    <row r="99" spans="56:59" ht="15.75" customHeight="1" x14ac:dyDescent="0.25">
      <c r="BD99" s="6"/>
      <c r="BE99" s="7"/>
      <c r="BF99" s="1"/>
      <c r="BG99" s="1"/>
    </row>
    <row r="100" spans="56:59" ht="15.75" customHeight="1" x14ac:dyDescent="0.25">
      <c r="BD100" s="6"/>
      <c r="BE100" s="7"/>
      <c r="BF100" s="1"/>
      <c r="BG100" s="1"/>
    </row>
    <row r="101" spans="56:59" ht="15.75" customHeight="1" x14ac:dyDescent="0.25">
      <c r="BD101" s="6"/>
      <c r="BE101" s="7"/>
      <c r="BF101" s="1"/>
      <c r="BG101" s="1"/>
    </row>
    <row r="102" spans="56:59" ht="15.75" customHeight="1" x14ac:dyDescent="0.25">
      <c r="BD102" s="6"/>
      <c r="BE102" s="7"/>
      <c r="BF102" s="1"/>
      <c r="BG102" s="1"/>
    </row>
    <row r="103" spans="56:59" ht="15.75" customHeight="1" x14ac:dyDescent="0.25">
      <c r="BD103" s="6"/>
      <c r="BE103" s="7"/>
      <c r="BF103" s="1"/>
      <c r="BG103" s="1"/>
    </row>
    <row r="104" spans="56:59" ht="15.75" customHeight="1" x14ac:dyDescent="0.25">
      <c r="BD104" s="6"/>
      <c r="BE104" s="7"/>
      <c r="BF104" s="1"/>
      <c r="BG104" s="1"/>
    </row>
    <row r="105" spans="56:59" ht="15.75" customHeight="1" x14ac:dyDescent="0.25">
      <c r="BD105" s="6"/>
      <c r="BE105" s="7"/>
      <c r="BF105" s="1"/>
      <c r="BG105" s="1"/>
    </row>
    <row r="106" spans="56:59" ht="15.75" customHeight="1" x14ac:dyDescent="0.25">
      <c r="BD106" s="6"/>
      <c r="BE106" s="7"/>
      <c r="BF106" s="1"/>
      <c r="BG106" s="1"/>
    </row>
    <row r="107" spans="56:59" ht="15.75" customHeight="1" x14ac:dyDescent="0.25">
      <c r="BD107" s="6"/>
      <c r="BE107" s="7"/>
      <c r="BF107" s="1"/>
      <c r="BG107" s="1"/>
    </row>
    <row r="108" spans="56:59" ht="15.75" customHeight="1" x14ac:dyDescent="0.25">
      <c r="BD108" s="6"/>
      <c r="BE108" s="7"/>
      <c r="BF108" s="1"/>
      <c r="BG108" s="1"/>
    </row>
    <row r="109" spans="56:59" ht="15.75" customHeight="1" x14ac:dyDescent="0.25">
      <c r="BD109" s="6"/>
      <c r="BE109" s="7"/>
      <c r="BF109" s="1"/>
      <c r="BG109" s="1"/>
    </row>
    <row r="110" spans="56:59" ht="15.75" customHeight="1" x14ac:dyDescent="0.25">
      <c r="BD110" s="6"/>
      <c r="BE110" s="7"/>
      <c r="BF110" s="1"/>
      <c r="BG110" s="1"/>
    </row>
    <row r="111" spans="56:59" ht="15.75" customHeight="1" x14ac:dyDescent="0.25">
      <c r="BD111" s="6"/>
      <c r="BE111" s="7"/>
      <c r="BF111" s="1"/>
      <c r="BG111" s="1"/>
    </row>
    <row r="112" spans="56:59" ht="15.75" customHeight="1" x14ac:dyDescent="0.25">
      <c r="BD112" s="6"/>
      <c r="BE112" s="7"/>
      <c r="BF112" s="1"/>
      <c r="BG112" s="1"/>
    </row>
    <row r="113" spans="56:59" ht="15.75" customHeight="1" x14ac:dyDescent="0.25">
      <c r="BD113" s="6"/>
      <c r="BE113" s="7"/>
      <c r="BF113" s="1"/>
      <c r="BG113" s="1"/>
    </row>
    <row r="114" spans="56:59" ht="15.75" customHeight="1" x14ac:dyDescent="0.25">
      <c r="BD114" s="6"/>
      <c r="BE114" s="7"/>
      <c r="BF114" s="1"/>
      <c r="BG114" s="1"/>
    </row>
    <row r="115" spans="56:59" ht="15.75" customHeight="1" x14ac:dyDescent="0.25">
      <c r="BD115" s="6"/>
      <c r="BE115" s="7"/>
      <c r="BF115" s="1"/>
      <c r="BG115" s="1"/>
    </row>
    <row r="116" spans="56:59" ht="15.75" customHeight="1" x14ac:dyDescent="0.25">
      <c r="BD116" s="6"/>
      <c r="BE116" s="7"/>
      <c r="BF116" s="1"/>
      <c r="BG116" s="1"/>
    </row>
    <row r="117" spans="56:59" ht="15.75" customHeight="1" x14ac:dyDescent="0.25">
      <c r="BD117" s="6"/>
      <c r="BE117" s="7"/>
      <c r="BF117" s="1"/>
      <c r="BG117" s="1"/>
    </row>
    <row r="118" spans="56:59" ht="15.75" customHeight="1" x14ac:dyDescent="0.25">
      <c r="BD118" s="6"/>
      <c r="BE118" s="7"/>
      <c r="BF118" s="1"/>
      <c r="BG118" s="1"/>
    </row>
    <row r="119" spans="56:59" ht="15.75" customHeight="1" x14ac:dyDescent="0.25">
      <c r="BD119" s="6"/>
      <c r="BE119" s="7"/>
      <c r="BF119" s="1"/>
      <c r="BG119" s="1"/>
    </row>
    <row r="120" spans="56:59" ht="15.75" customHeight="1" x14ac:dyDescent="0.25">
      <c r="BD120" s="6"/>
      <c r="BE120" s="7"/>
      <c r="BF120" s="1"/>
      <c r="BG120" s="1"/>
    </row>
    <row r="121" spans="56:59" ht="15.75" customHeight="1" x14ac:dyDescent="0.25">
      <c r="BD121" s="6"/>
      <c r="BE121" s="7"/>
      <c r="BF121" s="1"/>
      <c r="BG121" s="1"/>
    </row>
    <row r="122" spans="56:59" ht="15.75" customHeight="1" x14ac:dyDescent="0.25">
      <c r="BD122" s="6"/>
      <c r="BE122" s="7"/>
      <c r="BF122" s="1"/>
      <c r="BG122" s="1"/>
    </row>
    <row r="123" spans="56:59" ht="15.75" customHeight="1" x14ac:dyDescent="0.25">
      <c r="BD123" s="6"/>
      <c r="BE123" s="7"/>
      <c r="BF123" s="1"/>
      <c r="BG123" s="1"/>
    </row>
    <row r="124" spans="56:59" ht="15.75" customHeight="1" x14ac:dyDescent="0.25">
      <c r="BD124" s="6"/>
      <c r="BE124" s="7"/>
      <c r="BF124" s="1"/>
      <c r="BG124" s="1"/>
    </row>
    <row r="125" spans="56:59" ht="15.75" customHeight="1" x14ac:dyDescent="0.25">
      <c r="BD125" s="6"/>
      <c r="BE125" s="7"/>
      <c r="BF125" s="1"/>
      <c r="BG125" s="1"/>
    </row>
    <row r="126" spans="56:59" ht="15.75" customHeight="1" x14ac:dyDescent="0.25">
      <c r="BD126" s="6"/>
      <c r="BE126" s="7"/>
      <c r="BF126" s="1"/>
      <c r="BG126" s="1"/>
    </row>
    <row r="127" spans="56:59" ht="15.75" customHeight="1" x14ac:dyDescent="0.25">
      <c r="BD127" s="6"/>
      <c r="BE127" s="7"/>
      <c r="BF127" s="1"/>
      <c r="BG127" s="1"/>
    </row>
    <row r="128" spans="56:59" ht="15.75" customHeight="1" x14ac:dyDescent="0.25">
      <c r="BD128" s="6"/>
      <c r="BE128" s="7"/>
      <c r="BF128" s="1"/>
      <c r="BG128" s="1"/>
    </row>
    <row r="129" spans="56:59" ht="15.75" customHeight="1" x14ac:dyDescent="0.25">
      <c r="BD129" s="6"/>
      <c r="BE129" s="7"/>
      <c r="BF129" s="1"/>
      <c r="BG129" s="1"/>
    </row>
    <row r="130" spans="56:59" ht="15.75" customHeight="1" x14ac:dyDescent="0.25">
      <c r="BD130" s="6"/>
      <c r="BE130" s="7"/>
      <c r="BF130" s="1"/>
      <c r="BG130" s="1"/>
    </row>
    <row r="131" spans="56:59" ht="15.75" customHeight="1" x14ac:dyDescent="0.25">
      <c r="BD131" s="6"/>
      <c r="BE131" s="7"/>
      <c r="BF131" s="1"/>
      <c r="BG131" s="1"/>
    </row>
    <row r="132" spans="56:59" ht="15.75" customHeight="1" x14ac:dyDescent="0.25">
      <c r="BD132" s="6"/>
      <c r="BE132" s="7"/>
      <c r="BF132" s="1"/>
      <c r="BG132" s="1"/>
    </row>
    <row r="133" spans="56:59" ht="15.75" customHeight="1" x14ac:dyDescent="0.25">
      <c r="BD133" s="6"/>
      <c r="BE133" s="7"/>
      <c r="BF133" s="1"/>
      <c r="BG133" s="1"/>
    </row>
    <row r="134" spans="56:59" ht="15.75" customHeight="1" x14ac:dyDescent="0.25">
      <c r="BD134" s="6"/>
      <c r="BE134" s="7"/>
      <c r="BF134" s="1"/>
      <c r="BG134" s="1"/>
    </row>
    <row r="135" spans="56:59" ht="15.75" customHeight="1" x14ac:dyDescent="0.25">
      <c r="BD135" s="6"/>
      <c r="BE135" s="7"/>
      <c r="BF135" s="1"/>
      <c r="BG135" s="1"/>
    </row>
    <row r="136" spans="56:59" ht="15.75" customHeight="1" x14ac:dyDescent="0.25">
      <c r="BD136" s="6"/>
      <c r="BE136" s="7"/>
      <c r="BF136" s="1"/>
      <c r="BG136" s="1"/>
    </row>
    <row r="137" spans="56:59" ht="15.75" customHeight="1" x14ac:dyDescent="0.25">
      <c r="BD137" s="6"/>
      <c r="BE137" s="7"/>
      <c r="BF137" s="1"/>
      <c r="BG137" s="1"/>
    </row>
    <row r="138" spans="56:59" ht="15.75" customHeight="1" x14ac:dyDescent="0.25">
      <c r="BD138" s="6"/>
      <c r="BE138" s="7"/>
      <c r="BF138" s="1"/>
      <c r="BG138" s="1"/>
    </row>
    <row r="139" spans="56:59" ht="15.75" customHeight="1" x14ac:dyDescent="0.25">
      <c r="BD139" s="6"/>
      <c r="BE139" s="7"/>
      <c r="BF139" s="1"/>
      <c r="BG139" s="1"/>
    </row>
    <row r="140" spans="56:59" ht="15.75" customHeight="1" x14ac:dyDescent="0.25">
      <c r="BD140" s="6"/>
      <c r="BE140" s="7"/>
      <c r="BF140" s="1"/>
      <c r="BG140" s="1"/>
    </row>
    <row r="141" spans="56:59" ht="15.75" customHeight="1" x14ac:dyDescent="0.25">
      <c r="BD141" s="6"/>
      <c r="BE141" s="7"/>
      <c r="BF141" s="1"/>
      <c r="BG141" s="1"/>
    </row>
    <row r="142" spans="56:59" ht="15.75" customHeight="1" x14ac:dyDescent="0.25">
      <c r="BD142" s="6"/>
      <c r="BE142" s="7"/>
      <c r="BF142" s="1"/>
      <c r="BG142" s="1"/>
    </row>
    <row r="143" spans="56:59" ht="15.75" customHeight="1" x14ac:dyDescent="0.25">
      <c r="BD143" s="6"/>
      <c r="BE143" s="7"/>
      <c r="BF143" s="1"/>
      <c r="BG143" s="1"/>
    </row>
    <row r="144" spans="56:59" ht="15.75" customHeight="1" x14ac:dyDescent="0.25">
      <c r="BD144" s="6"/>
      <c r="BE144" s="7"/>
      <c r="BF144" s="1"/>
      <c r="BG144" s="1"/>
    </row>
    <row r="145" spans="56:59" ht="15.75" customHeight="1" x14ac:dyDescent="0.25">
      <c r="BD145" s="6"/>
      <c r="BE145" s="7"/>
      <c r="BF145" s="1"/>
      <c r="BG145" s="1"/>
    </row>
    <row r="146" spans="56:59" ht="15.75" customHeight="1" x14ac:dyDescent="0.25">
      <c r="BD146" s="6"/>
      <c r="BE146" s="7"/>
      <c r="BF146" s="1"/>
      <c r="BG146" s="1"/>
    </row>
    <row r="147" spans="56:59" ht="15.75" customHeight="1" x14ac:dyDescent="0.25">
      <c r="BD147" s="6"/>
      <c r="BE147" s="7"/>
      <c r="BF147" s="1"/>
      <c r="BG147" s="1"/>
    </row>
    <row r="148" spans="56:59" ht="15.75" customHeight="1" x14ac:dyDescent="0.25">
      <c r="BD148" s="6"/>
      <c r="BE148" s="7"/>
      <c r="BF148" s="1"/>
      <c r="BG148" s="1"/>
    </row>
    <row r="149" spans="56:59" ht="15.75" customHeight="1" x14ac:dyDescent="0.25">
      <c r="BD149" s="6"/>
      <c r="BE149" s="7"/>
      <c r="BF149" s="1"/>
      <c r="BG149" s="1"/>
    </row>
    <row r="150" spans="56:59" ht="15.75" customHeight="1" x14ac:dyDescent="0.25">
      <c r="BD150" s="6"/>
      <c r="BE150" s="7"/>
      <c r="BF150" s="1"/>
      <c r="BG150" s="1"/>
    </row>
    <row r="151" spans="56:59" ht="15.75" customHeight="1" x14ac:dyDescent="0.25">
      <c r="BD151" s="6"/>
      <c r="BE151" s="7"/>
      <c r="BF151" s="1"/>
      <c r="BG151" s="1"/>
    </row>
    <row r="152" spans="56:59" ht="15.75" customHeight="1" x14ac:dyDescent="0.25">
      <c r="BD152" s="6"/>
      <c r="BE152" s="7"/>
      <c r="BF152" s="1"/>
      <c r="BG152" s="1"/>
    </row>
    <row r="153" spans="56:59" ht="15.75" customHeight="1" x14ac:dyDescent="0.25">
      <c r="BD153" s="6"/>
      <c r="BE153" s="7"/>
      <c r="BF153" s="1"/>
      <c r="BG153" s="1"/>
    </row>
    <row r="154" spans="56:59" ht="15.75" customHeight="1" x14ac:dyDescent="0.25">
      <c r="BD154" s="6"/>
      <c r="BE154" s="7"/>
      <c r="BF154" s="1"/>
      <c r="BG154" s="1"/>
    </row>
    <row r="155" spans="56:59" ht="15.75" customHeight="1" x14ac:dyDescent="0.25">
      <c r="BD155" s="6"/>
      <c r="BE155" s="7"/>
      <c r="BF155" s="1"/>
      <c r="BG155" s="1"/>
    </row>
    <row r="156" spans="56:59" ht="15.75" customHeight="1" x14ac:dyDescent="0.25">
      <c r="BD156" s="6"/>
      <c r="BE156" s="7"/>
      <c r="BF156" s="1"/>
      <c r="BG156" s="1"/>
    </row>
    <row r="157" spans="56:59" ht="15.75" customHeight="1" x14ac:dyDescent="0.25">
      <c r="BD157" s="6"/>
      <c r="BE157" s="7"/>
      <c r="BF157" s="1"/>
      <c r="BG157" s="1"/>
    </row>
    <row r="158" spans="56:59" ht="15.75" customHeight="1" x14ac:dyDescent="0.25">
      <c r="BD158" s="6"/>
      <c r="BE158" s="7"/>
      <c r="BF158" s="1"/>
      <c r="BG158" s="1"/>
    </row>
    <row r="159" spans="56:59" ht="15.75" customHeight="1" x14ac:dyDescent="0.25">
      <c r="BD159" s="6"/>
      <c r="BE159" s="7"/>
      <c r="BF159" s="1"/>
      <c r="BG159" s="1"/>
    </row>
    <row r="160" spans="56:59" ht="15.75" customHeight="1" x14ac:dyDescent="0.25">
      <c r="BD160" s="6"/>
      <c r="BE160" s="7"/>
      <c r="BF160" s="1"/>
      <c r="BG160" s="1"/>
    </row>
    <row r="161" spans="56:59" ht="15.75" customHeight="1" x14ac:dyDescent="0.25">
      <c r="BD161" s="6"/>
      <c r="BE161" s="7"/>
      <c r="BF161" s="1"/>
      <c r="BG161" s="1"/>
    </row>
    <row r="162" spans="56:59" ht="15.75" customHeight="1" x14ac:dyDescent="0.25">
      <c r="BD162" s="6"/>
      <c r="BE162" s="7"/>
      <c r="BF162" s="1"/>
      <c r="BG162" s="1"/>
    </row>
    <row r="163" spans="56:59" ht="15.75" customHeight="1" x14ac:dyDescent="0.25">
      <c r="BD163" s="6"/>
      <c r="BE163" s="7"/>
      <c r="BF163" s="1"/>
      <c r="BG163" s="1"/>
    </row>
    <row r="164" spans="56:59" ht="15.75" customHeight="1" x14ac:dyDescent="0.25">
      <c r="BD164" s="6"/>
      <c r="BE164" s="7"/>
      <c r="BF164" s="1"/>
      <c r="BG164" s="1"/>
    </row>
    <row r="165" spans="56:59" ht="15.75" customHeight="1" x14ac:dyDescent="0.25">
      <c r="BD165" s="6"/>
      <c r="BE165" s="7"/>
      <c r="BF165" s="1"/>
      <c r="BG165" s="1"/>
    </row>
    <row r="166" spans="56:59" ht="15.75" customHeight="1" x14ac:dyDescent="0.25">
      <c r="BD166" s="6"/>
      <c r="BE166" s="7"/>
      <c r="BF166" s="1"/>
      <c r="BG166" s="1"/>
    </row>
    <row r="167" spans="56:59" ht="15.75" customHeight="1" x14ac:dyDescent="0.25">
      <c r="BD167" s="6"/>
      <c r="BE167" s="7"/>
      <c r="BF167" s="1"/>
      <c r="BG167" s="1"/>
    </row>
    <row r="168" spans="56:59" ht="15.75" customHeight="1" x14ac:dyDescent="0.25">
      <c r="BD168" s="6"/>
      <c r="BE168" s="7"/>
      <c r="BF168" s="1"/>
      <c r="BG168" s="1"/>
    </row>
    <row r="169" spans="56:59" ht="15.75" customHeight="1" x14ac:dyDescent="0.25">
      <c r="BD169" s="6"/>
      <c r="BE169" s="7"/>
      <c r="BF169" s="1"/>
      <c r="BG169" s="1"/>
    </row>
    <row r="170" spans="56:59" ht="15.75" customHeight="1" x14ac:dyDescent="0.25">
      <c r="BD170" s="6"/>
      <c r="BE170" s="7"/>
      <c r="BF170" s="1"/>
      <c r="BG170" s="1"/>
    </row>
    <row r="171" spans="56:59" ht="15.75" customHeight="1" x14ac:dyDescent="0.25">
      <c r="BD171" s="6"/>
      <c r="BE171" s="7"/>
      <c r="BF171" s="1"/>
      <c r="BG171" s="1"/>
    </row>
    <row r="172" spans="56:59" ht="15.75" customHeight="1" x14ac:dyDescent="0.25">
      <c r="BD172" s="6"/>
      <c r="BE172" s="7"/>
      <c r="BF172" s="1"/>
      <c r="BG172" s="1"/>
    </row>
    <row r="173" spans="56:59" ht="15.75" customHeight="1" x14ac:dyDescent="0.25">
      <c r="BD173" s="6"/>
      <c r="BE173" s="7"/>
      <c r="BF173" s="1"/>
      <c r="BG173" s="1"/>
    </row>
    <row r="174" spans="56:59" ht="15.75" customHeight="1" x14ac:dyDescent="0.25">
      <c r="BD174" s="6"/>
      <c r="BE174" s="7"/>
      <c r="BF174" s="1"/>
      <c r="BG174" s="1"/>
    </row>
    <row r="175" spans="56:59" ht="15.75" customHeight="1" x14ac:dyDescent="0.25">
      <c r="BD175" s="6"/>
      <c r="BE175" s="7"/>
      <c r="BF175" s="1"/>
      <c r="BG175" s="1"/>
    </row>
    <row r="176" spans="56:59" ht="15.75" customHeight="1" x14ac:dyDescent="0.25">
      <c r="BD176" s="6"/>
      <c r="BE176" s="7"/>
      <c r="BF176" s="1"/>
      <c r="BG176" s="1"/>
    </row>
    <row r="177" spans="56:59" ht="15.75" customHeight="1" x14ac:dyDescent="0.25">
      <c r="BD177" s="6"/>
      <c r="BE177" s="7"/>
      <c r="BF177" s="1"/>
      <c r="BG177" s="1"/>
    </row>
    <row r="178" spans="56:59" ht="15.75" customHeight="1" x14ac:dyDescent="0.25">
      <c r="BD178" s="6"/>
      <c r="BE178" s="7"/>
      <c r="BF178" s="1"/>
      <c r="BG178" s="1"/>
    </row>
    <row r="179" spans="56:59" ht="15.75" customHeight="1" x14ac:dyDescent="0.25">
      <c r="BD179" s="6"/>
      <c r="BE179" s="7"/>
      <c r="BF179" s="1"/>
      <c r="BG179" s="1"/>
    </row>
    <row r="180" spans="56:59" ht="15.75" customHeight="1" x14ac:dyDescent="0.25">
      <c r="BD180" s="6"/>
      <c r="BE180" s="7"/>
      <c r="BF180" s="1"/>
      <c r="BG180" s="1"/>
    </row>
    <row r="181" spans="56:59" ht="15.75" customHeight="1" x14ac:dyDescent="0.25">
      <c r="BD181" s="6"/>
      <c r="BE181" s="7"/>
      <c r="BF181" s="1"/>
      <c r="BG181" s="1"/>
    </row>
    <row r="182" spans="56:59" ht="15.75" customHeight="1" x14ac:dyDescent="0.25">
      <c r="BD182" s="6"/>
      <c r="BE182" s="7"/>
      <c r="BF182" s="1"/>
      <c r="BG182" s="1"/>
    </row>
    <row r="183" spans="56:59" ht="15.75" customHeight="1" x14ac:dyDescent="0.25">
      <c r="BD183" s="6"/>
      <c r="BE183" s="7"/>
      <c r="BF183" s="1"/>
      <c r="BG183" s="1"/>
    </row>
    <row r="184" spans="56:59" ht="15.75" customHeight="1" x14ac:dyDescent="0.25">
      <c r="BD184" s="6"/>
      <c r="BE184" s="7"/>
      <c r="BF184" s="1"/>
      <c r="BG184" s="1"/>
    </row>
    <row r="185" spans="56:59" ht="15.75" customHeight="1" x14ac:dyDescent="0.25">
      <c r="BD185" s="6"/>
      <c r="BE185" s="7"/>
      <c r="BF185" s="1"/>
      <c r="BG185" s="1"/>
    </row>
    <row r="186" spans="56:59" ht="15.75" customHeight="1" x14ac:dyDescent="0.25">
      <c r="BD186" s="6"/>
      <c r="BE186" s="7"/>
      <c r="BF186" s="1"/>
      <c r="BG186" s="1"/>
    </row>
    <row r="187" spans="56:59" ht="15.75" customHeight="1" x14ac:dyDescent="0.25">
      <c r="BD187" s="6"/>
      <c r="BE187" s="7"/>
      <c r="BF187" s="1"/>
      <c r="BG187" s="1"/>
    </row>
    <row r="188" spans="56:59" ht="15.75" customHeight="1" x14ac:dyDescent="0.25">
      <c r="BD188" s="6"/>
      <c r="BE188" s="7"/>
      <c r="BF188" s="1"/>
      <c r="BG188" s="1"/>
    </row>
    <row r="189" spans="56:59" ht="15.75" customHeight="1" x14ac:dyDescent="0.25">
      <c r="BD189" s="6"/>
      <c r="BE189" s="7"/>
      <c r="BF189" s="1"/>
      <c r="BG189" s="1"/>
    </row>
    <row r="190" spans="56:59" ht="15.75" customHeight="1" x14ac:dyDescent="0.25">
      <c r="BD190" s="6"/>
      <c r="BE190" s="7"/>
      <c r="BF190" s="1"/>
      <c r="BG190" s="1"/>
    </row>
    <row r="191" spans="56:59" ht="15.75" customHeight="1" x14ac:dyDescent="0.25">
      <c r="BD191" s="6"/>
      <c r="BE191" s="7"/>
      <c r="BF191" s="1"/>
      <c r="BG191" s="1"/>
    </row>
    <row r="192" spans="56:59" ht="15.75" customHeight="1" x14ac:dyDescent="0.25">
      <c r="BD192" s="6"/>
      <c r="BE192" s="7"/>
      <c r="BF192" s="1"/>
      <c r="BG192" s="1"/>
    </row>
    <row r="193" spans="56:59" ht="15.75" customHeight="1" x14ac:dyDescent="0.25">
      <c r="BD193" s="6"/>
      <c r="BE193" s="7"/>
      <c r="BF193" s="1"/>
      <c r="BG193" s="1"/>
    </row>
    <row r="194" spans="56:59" ht="15.75" customHeight="1" x14ac:dyDescent="0.25">
      <c r="BD194" s="6"/>
      <c r="BE194" s="7"/>
      <c r="BF194" s="1"/>
      <c r="BG194" s="1"/>
    </row>
    <row r="195" spans="56:59" ht="15.75" customHeight="1" x14ac:dyDescent="0.25">
      <c r="BD195" s="6"/>
      <c r="BE195" s="7"/>
      <c r="BF195" s="1"/>
      <c r="BG195" s="1"/>
    </row>
    <row r="196" spans="56:59" ht="15.75" customHeight="1" x14ac:dyDescent="0.25">
      <c r="BD196" s="6"/>
      <c r="BE196" s="7"/>
      <c r="BF196" s="1"/>
      <c r="BG196" s="1"/>
    </row>
    <row r="197" spans="56:59" ht="15.75" customHeight="1" x14ac:dyDescent="0.25">
      <c r="BD197" s="6"/>
      <c r="BE197" s="7"/>
      <c r="BF197" s="1"/>
      <c r="BG197" s="1"/>
    </row>
    <row r="198" spans="56:59" ht="15.75" customHeight="1" x14ac:dyDescent="0.25">
      <c r="BD198" s="6"/>
      <c r="BE198" s="7"/>
      <c r="BF198" s="1"/>
      <c r="BG198" s="1"/>
    </row>
    <row r="199" spans="56:59" ht="15.75" customHeight="1" x14ac:dyDescent="0.25">
      <c r="BD199" s="6"/>
      <c r="BE199" s="7"/>
      <c r="BF199" s="1"/>
      <c r="BG199" s="1"/>
    </row>
    <row r="200" spans="56:59" ht="15.75" customHeight="1" x14ac:dyDescent="0.25">
      <c r="BD200" s="6"/>
      <c r="BE200" s="7"/>
      <c r="BF200" s="1"/>
      <c r="BG200" s="1"/>
    </row>
    <row r="201" spans="56:59" ht="15.75" customHeight="1" x14ac:dyDescent="0.25">
      <c r="BD201" s="6"/>
      <c r="BE201" s="7"/>
      <c r="BF201" s="1"/>
      <c r="BG201" s="1"/>
    </row>
    <row r="202" spans="56:59" ht="15.75" customHeight="1" x14ac:dyDescent="0.25">
      <c r="BD202" s="6"/>
      <c r="BE202" s="7"/>
      <c r="BF202" s="1"/>
      <c r="BG202" s="1"/>
    </row>
    <row r="203" spans="56:59" ht="15.75" customHeight="1" x14ac:dyDescent="0.25">
      <c r="BD203" s="6"/>
      <c r="BE203" s="7"/>
      <c r="BF203" s="1"/>
      <c r="BG203" s="1"/>
    </row>
    <row r="204" spans="56:59" ht="15.75" customHeight="1" x14ac:dyDescent="0.25">
      <c r="BD204" s="6"/>
      <c r="BE204" s="7"/>
      <c r="BF204" s="1"/>
      <c r="BG204" s="1"/>
    </row>
    <row r="205" spans="56:59" ht="15.75" customHeight="1" x14ac:dyDescent="0.25">
      <c r="BD205" s="6"/>
      <c r="BE205" s="7"/>
      <c r="BF205" s="1"/>
      <c r="BG205" s="1"/>
    </row>
    <row r="206" spans="56:59" ht="15.75" customHeight="1" x14ac:dyDescent="0.25">
      <c r="BD206" s="6"/>
      <c r="BE206" s="7"/>
      <c r="BF206" s="1"/>
      <c r="BG206" s="1"/>
    </row>
    <row r="207" spans="56:59" ht="15.75" customHeight="1" x14ac:dyDescent="0.25">
      <c r="BD207" s="6"/>
      <c r="BE207" s="7"/>
      <c r="BF207" s="1"/>
      <c r="BG207" s="1"/>
    </row>
    <row r="208" spans="56:59" ht="15.75" customHeight="1" x14ac:dyDescent="0.25">
      <c r="BD208" s="6"/>
      <c r="BE208" s="7"/>
      <c r="BF208" s="1"/>
      <c r="BG208" s="1"/>
    </row>
    <row r="209" spans="56:59" ht="15.75" customHeight="1" x14ac:dyDescent="0.25">
      <c r="BD209" s="6"/>
      <c r="BE209" s="7"/>
      <c r="BF209" s="1"/>
      <c r="BG209" s="1"/>
    </row>
    <row r="210" spans="56:59" ht="15.75" customHeight="1" x14ac:dyDescent="0.25">
      <c r="BD210" s="6"/>
      <c r="BE210" s="7"/>
      <c r="BF210" s="1"/>
      <c r="BG210" s="1"/>
    </row>
    <row r="211" spans="56:59" ht="15.75" customHeight="1" x14ac:dyDescent="0.25">
      <c r="BD211" s="6"/>
      <c r="BE211" s="7"/>
      <c r="BF211" s="1"/>
      <c r="BG211" s="1"/>
    </row>
    <row r="212" spans="56:59" ht="15.75" customHeight="1" x14ac:dyDescent="0.25">
      <c r="BD212" s="6"/>
      <c r="BE212" s="7"/>
      <c r="BF212" s="1"/>
      <c r="BG212" s="1"/>
    </row>
    <row r="213" spans="56:59" ht="15.75" customHeight="1" x14ac:dyDescent="0.25">
      <c r="BD213" s="6"/>
      <c r="BE213" s="7"/>
      <c r="BF213" s="1"/>
      <c r="BG213" s="1"/>
    </row>
    <row r="214" spans="56:59" ht="15.75" customHeight="1" x14ac:dyDescent="0.25">
      <c r="BD214" s="6"/>
      <c r="BE214" s="7"/>
      <c r="BF214" s="1"/>
      <c r="BG214" s="1"/>
    </row>
    <row r="215" spans="56:59" ht="15.75" customHeight="1" x14ac:dyDescent="0.25">
      <c r="BD215" s="6"/>
      <c r="BE215" s="7"/>
      <c r="BF215" s="1"/>
      <c r="BG215" s="1"/>
    </row>
    <row r="216" spans="56:59" ht="15.75" customHeight="1" x14ac:dyDescent="0.25">
      <c r="BD216" s="6"/>
      <c r="BE216" s="7"/>
      <c r="BF216" s="1"/>
      <c r="BG216" s="1"/>
    </row>
    <row r="217" spans="56:59" ht="15.75" customHeight="1" x14ac:dyDescent="0.25">
      <c r="BD217" s="6"/>
      <c r="BE217" s="7"/>
      <c r="BF217" s="1"/>
      <c r="BG217" s="1"/>
    </row>
    <row r="218" spans="56:59" ht="15.75" customHeight="1" x14ac:dyDescent="0.25">
      <c r="BD218" s="6"/>
      <c r="BE218" s="7"/>
      <c r="BF218" s="1"/>
      <c r="BG218" s="1"/>
    </row>
    <row r="219" spans="56:59" ht="15.75" customHeight="1" x14ac:dyDescent="0.25">
      <c r="BD219" s="6"/>
      <c r="BE219" s="7"/>
      <c r="BF219" s="1"/>
      <c r="BG219" s="1"/>
    </row>
    <row r="220" spans="56:59" ht="15.75" customHeight="1" x14ac:dyDescent="0.25">
      <c r="BD220" s="6"/>
      <c r="BE220" s="7"/>
      <c r="BF220" s="1"/>
      <c r="BG220" s="1"/>
    </row>
    <row r="221" spans="56:59" ht="15.75" customHeight="1" x14ac:dyDescent="0.25">
      <c r="BD221" s="6"/>
      <c r="BE221" s="7"/>
      <c r="BF221" s="1"/>
      <c r="BG221" s="1"/>
    </row>
    <row r="222" spans="56:59" ht="15.75" customHeight="1" x14ac:dyDescent="0.25">
      <c r="BD222" s="6"/>
      <c r="BE222" s="7"/>
      <c r="BF222" s="1"/>
      <c r="BG222" s="1"/>
    </row>
    <row r="223" spans="56:59" ht="15.75" customHeight="1" x14ac:dyDescent="0.25">
      <c r="BD223" s="6"/>
      <c r="BE223" s="7"/>
      <c r="BF223" s="1"/>
      <c r="BG223" s="1"/>
    </row>
    <row r="224" spans="56:59" ht="15.75" customHeight="1" x14ac:dyDescent="0.25">
      <c r="BD224" s="6"/>
      <c r="BE224" s="7"/>
      <c r="BF224" s="1"/>
      <c r="BG224" s="1"/>
    </row>
    <row r="225" spans="56:59" ht="15.75" customHeight="1" x14ac:dyDescent="0.25">
      <c r="BD225" s="6"/>
      <c r="BE225" s="7"/>
      <c r="BF225" s="1"/>
      <c r="BG225" s="1"/>
    </row>
    <row r="226" spans="56:59" ht="15.75" customHeight="1" x14ac:dyDescent="0.25">
      <c r="BD226" s="6"/>
      <c r="BE226" s="7"/>
      <c r="BF226" s="1"/>
      <c r="BG226" s="1"/>
    </row>
    <row r="227" spans="56:59" ht="15.75" customHeight="1" x14ac:dyDescent="0.25">
      <c r="BD227" s="6"/>
      <c r="BE227" s="7"/>
      <c r="BF227" s="1"/>
      <c r="BG227" s="1"/>
    </row>
    <row r="228" spans="56:59" ht="15.75" customHeight="1" x14ac:dyDescent="0.25">
      <c r="BD228" s="6"/>
      <c r="BE228" s="7"/>
      <c r="BF228" s="1"/>
      <c r="BG228" s="1"/>
    </row>
    <row r="229" spans="56:59" ht="15.75" customHeight="1" x14ac:dyDescent="0.25">
      <c r="BD229" s="6"/>
      <c r="BE229" s="7"/>
      <c r="BF229" s="1"/>
      <c r="BG229" s="1"/>
    </row>
    <row r="230" spans="56:59" ht="15.75" customHeight="1" x14ac:dyDescent="0.25">
      <c r="BD230" s="6"/>
      <c r="BE230" s="7"/>
      <c r="BF230" s="1"/>
      <c r="BG230" s="1"/>
    </row>
    <row r="231" spans="56:59" ht="15.75" customHeight="1" x14ac:dyDescent="0.25">
      <c r="BD231" s="6"/>
      <c r="BE231" s="7"/>
      <c r="BF231" s="1"/>
      <c r="BG231" s="1"/>
    </row>
    <row r="232" spans="56:59" ht="15.75" customHeight="1" x14ac:dyDescent="0.25">
      <c r="BD232" s="6"/>
      <c r="BE232" s="7"/>
      <c r="BF232" s="1"/>
      <c r="BG232" s="1"/>
    </row>
    <row r="233" spans="56:59" ht="15.75" customHeight="1" x14ac:dyDescent="0.25">
      <c r="BD233" s="6"/>
      <c r="BE233" s="7"/>
      <c r="BF233" s="1"/>
      <c r="BG233" s="1"/>
    </row>
    <row r="234" spans="56:59" ht="15.75" customHeight="1" x14ac:dyDescent="0.25">
      <c r="BD234" s="6"/>
      <c r="BE234" s="7"/>
      <c r="BF234" s="1"/>
      <c r="BG234" s="1"/>
    </row>
    <row r="235" spans="56:59" ht="15.75" customHeight="1" x14ac:dyDescent="0.25">
      <c r="BD235" s="6"/>
      <c r="BE235" s="7"/>
      <c r="BF235" s="1"/>
      <c r="BG235" s="1"/>
    </row>
    <row r="236" spans="56:59" ht="15.75" customHeight="1" x14ac:dyDescent="0.25">
      <c r="BD236" s="6"/>
      <c r="BE236" s="7"/>
      <c r="BF236" s="1"/>
      <c r="BG236" s="1"/>
    </row>
    <row r="237" spans="56:59" ht="15.75" customHeight="1" x14ac:dyDescent="0.25">
      <c r="BD237" s="6"/>
      <c r="BE237" s="7"/>
      <c r="BF237" s="1"/>
      <c r="BG237" s="1"/>
    </row>
    <row r="238" spans="56:59" ht="15.75" customHeight="1" x14ac:dyDescent="0.25">
      <c r="BD238" s="6"/>
      <c r="BE238" s="7"/>
      <c r="BF238" s="1"/>
      <c r="BG238" s="1"/>
    </row>
    <row r="239" spans="56:59" ht="15.75" customHeight="1" x14ac:dyDescent="0.25">
      <c r="BD239" s="6"/>
      <c r="BE239" s="7"/>
      <c r="BF239" s="1"/>
      <c r="BG239" s="1"/>
    </row>
    <row r="240" spans="56:59" ht="15.75" customHeight="1" x14ac:dyDescent="0.25">
      <c r="BD240" s="6"/>
      <c r="BE240" s="7"/>
      <c r="BF240" s="1"/>
      <c r="BG240" s="1"/>
    </row>
    <row r="241" spans="56:59" ht="15.75" customHeight="1" x14ac:dyDescent="0.25">
      <c r="BD241" s="6"/>
      <c r="BE241" s="7"/>
      <c r="BF241" s="1"/>
      <c r="BG241" s="1"/>
    </row>
    <row r="242" spans="56:59" ht="15.75" customHeight="1" x14ac:dyDescent="0.25">
      <c r="BD242" s="6"/>
      <c r="BE242" s="7"/>
      <c r="BF242" s="1"/>
      <c r="BG242" s="1"/>
    </row>
    <row r="243" spans="56:59" ht="15.75" customHeight="1" x14ac:dyDescent="0.25">
      <c r="BD243" s="6"/>
      <c r="BE243" s="7"/>
      <c r="BF243" s="1"/>
      <c r="BG243" s="1"/>
    </row>
    <row r="244" spans="56:59" ht="15.75" customHeight="1" x14ac:dyDescent="0.25">
      <c r="BD244" s="6"/>
      <c r="BE244" s="7"/>
      <c r="BF244" s="1"/>
      <c r="BG244" s="1"/>
    </row>
    <row r="245" spans="56:59" ht="15.75" customHeight="1" x14ac:dyDescent="0.25">
      <c r="BD245" s="6"/>
      <c r="BE245" s="7"/>
      <c r="BF245" s="1"/>
      <c r="BG245" s="1"/>
    </row>
    <row r="246" spans="56:59" ht="15.75" customHeight="1" x14ac:dyDescent="0.25">
      <c r="BD246" s="6"/>
      <c r="BE246" s="7"/>
      <c r="BF246" s="1"/>
      <c r="BG246" s="1"/>
    </row>
    <row r="247" spans="56:59" ht="15.75" customHeight="1" x14ac:dyDescent="0.25">
      <c r="BD247" s="6"/>
      <c r="BE247" s="7"/>
      <c r="BF247" s="1"/>
      <c r="BG247" s="1"/>
    </row>
    <row r="248" spans="56:59" ht="15.75" customHeight="1" x14ac:dyDescent="0.25">
      <c r="BD248" s="6"/>
      <c r="BE248" s="7"/>
      <c r="BF248" s="1"/>
      <c r="BG248" s="1"/>
    </row>
    <row r="249" spans="56:59" ht="15.75" customHeight="1" x14ac:dyDescent="0.25">
      <c r="BD249" s="6"/>
      <c r="BE249" s="7"/>
      <c r="BF249" s="1"/>
      <c r="BG249" s="1"/>
    </row>
    <row r="250" spans="56:59" ht="15.75" customHeight="1" x14ac:dyDescent="0.25">
      <c r="BD250" s="6"/>
      <c r="BE250" s="7"/>
      <c r="BF250" s="1"/>
      <c r="BG250" s="1"/>
    </row>
    <row r="251" spans="56:59" ht="15.75" customHeight="1" x14ac:dyDescent="0.25">
      <c r="BD251" s="6"/>
      <c r="BE251" s="7"/>
      <c r="BF251" s="1"/>
      <c r="BG251" s="1"/>
    </row>
    <row r="252" spans="56:59" ht="15.75" customHeight="1" x14ac:dyDescent="0.25">
      <c r="BD252" s="6"/>
      <c r="BE252" s="7"/>
      <c r="BF252" s="1"/>
      <c r="BG252" s="1"/>
    </row>
    <row r="253" spans="56:59" ht="15.75" customHeight="1" x14ac:dyDescent="0.25">
      <c r="BD253" s="6"/>
      <c r="BE253" s="7"/>
      <c r="BF253" s="1"/>
      <c r="BG253" s="1"/>
    </row>
    <row r="254" spans="56:59" ht="15.75" customHeight="1" x14ac:dyDescent="0.25">
      <c r="BD254" s="6"/>
      <c r="BE254" s="7"/>
      <c r="BF254" s="1"/>
      <c r="BG254" s="1"/>
    </row>
    <row r="255" spans="56:59" ht="15.75" customHeight="1" x14ac:dyDescent="0.25">
      <c r="BD255" s="6"/>
      <c r="BE255" s="7"/>
      <c r="BF255" s="1"/>
      <c r="BG255" s="1"/>
    </row>
    <row r="256" spans="56:59" ht="15.75" customHeight="1" x14ac:dyDescent="0.25">
      <c r="BD256" s="6"/>
      <c r="BE256" s="7"/>
      <c r="BF256" s="1"/>
      <c r="BG256" s="1"/>
    </row>
    <row r="257" spans="56:59" ht="15.75" customHeight="1" x14ac:dyDescent="0.25">
      <c r="BD257" s="6"/>
      <c r="BE257" s="7"/>
      <c r="BF257" s="1"/>
      <c r="BG257" s="1"/>
    </row>
    <row r="258" spans="56:59" ht="15.75" customHeight="1" x14ac:dyDescent="0.25">
      <c r="BD258" s="6"/>
      <c r="BE258" s="7"/>
      <c r="BF258" s="1"/>
      <c r="BG258" s="1"/>
    </row>
    <row r="259" spans="56:59" ht="15.75" customHeight="1" x14ac:dyDescent="0.25">
      <c r="BD259" s="6"/>
      <c r="BE259" s="7"/>
      <c r="BF259" s="1"/>
      <c r="BG259" s="1"/>
    </row>
    <row r="260" spans="56:59" ht="15.75" customHeight="1" x14ac:dyDescent="0.25">
      <c r="BD260" s="6"/>
      <c r="BE260" s="7"/>
      <c r="BF260" s="1"/>
      <c r="BG260" s="1"/>
    </row>
    <row r="261" spans="56:59" ht="15.75" customHeight="1" x14ac:dyDescent="0.25">
      <c r="BD261" s="6"/>
      <c r="BE261" s="7"/>
      <c r="BF261" s="1"/>
      <c r="BG261" s="1"/>
    </row>
    <row r="262" spans="56:59" ht="15.75" customHeight="1" x14ac:dyDescent="0.25">
      <c r="BD262" s="6"/>
      <c r="BE262" s="7"/>
      <c r="BF262" s="1"/>
      <c r="BG262" s="1"/>
    </row>
    <row r="263" spans="56:59" ht="15.75" customHeight="1" x14ac:dyDescent="0.25">
      <c r="BD263" s="6"/>
      <c r="BE263" s="7"/>
      <c r="BF263" s="1"/>
      <c r="BG263" s="1"/>
    </row>
    <row r="264" spans="56:59" ht="15.75" customHeight="1" x14ac:dyDescent="0.25">
      <c r="BD264" s="6"/>
      <c r="BE264" s="7"/>
      <c r="BF264" s="1"/>
      <c r="BG264" s="1"/>
    </row>
    <row r="265" spans="56:59" ht="15.75" customHeight="1" x14ac:dyDescent="0.25">
      <c r="BD265" s="6"/>
      <c r="BE265" s="7"/>
      <c r="BF265" s="1"/>
      <c r="BG265" s="1"/>
    </row>
    <row r="266" spans="56:59" ht="15.75" customHeight="1" x14ac:dyDescent="0.25">
      <c r="BD266" s="6"/>
      <c r="BE266" s="7"/>
      <c r="BF266" s="1"/>
      <c r="BG266" s="1"/>
    </row>
    <row r="267" spans="56:59" ht="15.75" customHeight="1" x14ac:dyDescent="0.25">
      <c r="BD267" s="6"/>
      <c r="BE267" s="7"/>
      <c r="BF267" s="1"/>
      <c r="BG267" s="1"/>
    </row>
    <row r="268" spans="56:59" ht="15.75" customHeight="1" x14ac:dyDescent="0.25">
      <c r="BD268" s="6"/>
      <c r="BE268" s="7"/>
      <c r="BF268" s="1"/>
      <c r="BG268" s="1"/>
    </row>
    <row r="269" spans="56:59" ht="15.75" customHeight="1" x14ac:dyDescent="0.25">
      <c r="BD269" s="6"/>
      <c r="BE269" s="7"/>
      <c r="BF269" s="1"/>
      <c r="BG269" s="1"/>
    </row>
    <row r="270" spans="56:59" ht="15.75" customHeight="1" x14ac:dyDescent="0.25">
      <c r="BD270" s="6"/>
      <c r="BE270" s="7"/>
      <c r="BF270" s="1"/>
      <c r="BG270" s="1"/>
    </row>
    <row r="271" spans="56:59" ht="15.75" customHeight="1" x14ac:dyDescent="0.25">
      <c r="BD271" s="6"/>
      <c r="BE271" s="7"/>
      <c r="BF271" s="1"/>
      <c r="BG271" s="1"/>
    </row>
    <row r="272" spans="56:59" ht="15.75" customHeight="1" x14ac:dyDescent="0.25">
      <c r="BD272" s="6"/>
      <c r="BE272" s="7"/>
      <c r="BF272" s="1"/>
      <c r="BG272" s="1"/>
    </row>
    <row r="273" spans="56:59" ht="15.75" customHeight="1" x14ac:dyDescent="0.25">
      <c r="BD273" s="6"/>
      <c r="BE273" s="7"/>
      <c r="BF273" s="1"/>
      <c r="BG273" s="1"/>
    </row>
    <row r="274" spans="56:59" ht="15.75" customHeight="1" x14ac:dyDescent="0.25">
      <c r="BD274" s="6"/>
      <c r="BE274" s="7"/>
      <c r="BF274" s="1"/>
      <c r="BG274" s="1"/>
    </row>
    <row r="275" spans="56:59" ht="15.75" customHeight="1" x14ac:dyDescent="0.25">
      <c r="BD275" s="6"/>
      <c r="BE275" s="7"/>
      <c r="BF275" s="1"/>
      <c r="BG275" s="1"/>
    </row>
    <row r="276" spans="56:59" ht="15.75" customHeight="1" x14ac:dyDescent="0.25">
      <c r="BD276" s="6"/>
      <c r="BE276" s="7"/>
      <c r="BF276" s="1"/>
      <c r="BG276" s="1"/>
    </row>
    <row r="277" spans="56:59" ht="15.75" customHeight="1" x14ac:dyDescent="0.25">
      <c r="BD277" s="6"/>
      <c r="BE277" s="7"/>
      <c r="BF277" s="1"/>
      <c r="BG277" s="1"/>
    </row>
    <row r="278" spans="56:59" ht="15.75" customHeight="1" x14ac:dyDescent="0.25">
      <c r="BD278" s="6"/>
      <c r="BE278" s="7"/>
      <c r="BF278" s="1"/>
      <c r="BG278" s="1"/>
    </row>
    <row r="279" spans="56:59" ht="15.75" customHeight="1" x14ac:dyDescent="0.25">
      <c r="BD279" s="6"/>
      <c r="BE279" s="7"/>
      <c r="BF279" s="1"/>
      <c r="BG279" s="1"/>
    </row>
    <row r="280" spans="56:59" ht="15.75" customHeight="1" x14ac:dyDescent="0.25">
      <c r="BD280" s="6"/>
      <c r="BE280" s="7"/>
      <c r="BF280" s="1"/>
      <c r="BG280" s="1"/>
    </row>
    <row r="281" spans="56:59" ht="15.75" customHeight="1" x14ac:dyDescent="0.25">
      <c r="BD281" s="6"/>
      <c r="BE281" s="7"/>
      <c r="BF281" s="1"/>
      <c r="BG281" s="1"/>
    </row>
    <row r="282" spans="56:59" ht="15.75" customHeight="1" x14ac:dyDescent="0.25">
      <c r="BD282" s="6"/>
      <c r="BE282" s="7"/>
      <c r="BF282" s="1"/>
      <c r="BG282" s="1"/>
    </row>
    <row r="283" spans="56:59" ht="15.75" customHeight="1" x14ac:dyDescent="0.25">
      <c r="BD283" s="6"/>
      <c r="BE283" s="7"/>
      <c r="BF283" s="1"/>
      <c r="BG283" s="1"/>
    </row>
    <row r="284" spans="56:59" ht="15.75" customHeight="1" x14ac:dyDescent="0.25">
      <c r="BD284" s="6"/>
      <c r="BE284" s="7"/>
      <c r="BF284" s="1"/>
      <c r="BG284" s="1"/>
    </row>
    <row r="285" spans="56:59" ht="15.75" customHeight="1" x14ac:dyDescent="0.25">
      <c r="BD285" s="6"/>
      <c r="BE285" s="7"/>
      <c r="BF285" s="1"/>
      <c r="BG285" s="1"/>
    </row>
    <row r="286" spans="56:59" ht="15.75" customHeight="1" x14ac:dyDescent="0.25">
      <c r="BD286" s="6"/>
      <c r="BE286" s="7"/>
      <c r="BF286" s="1"/>
      <c r="BG286" s="1"/>
    </row>
    <row r="287" spans="56:59" ht="15.75" customHeight="1" x14ac:dyDescent="0.25">
      <c r="BD287" s="6"/>
      <c r="BE287" s="7"/>
      <c r="BF287" s="1"/>
      <c r="BG287" s="1"/>
    </row>
    <row r="288" spans="56:59" ht="15.75" customHeight="1" x14ac:dyDescent="0.25">
      <c r="BD288" s="6"/>
      <c r="BE288" s="7"/>
      <c r="BF288" s="1"/>
      <c r="BG288" s="1"/>
    </row>
    <row r="289" spans="56:59" ht="15.75" customHeight="1" x14ac:dyDescent="0.25">
      <c r="BD289" s="6"/>
      <c r="BE289" s="7"/>
      <c r="BF289" s="1"/>
      <c r="BG289" s="1"/>
    </row>
    <row r="290" spans="56:59" ht="15.75" customHeight="1" x14ac:dyDescent="0.25">
      <c r="BD290" s="6"/>
      <c r="BE290" s="7"/>
      <c r="BF290" s="1"/>
      <c r="BG290" s="1"/>
    </row>
    <row r="291" spans="56:59" ht="15.75" customHeight="1" x14ac:dyDescent="0.25">
      <c r="BD291" s="6"/>
      <c r="BE291" s="7"/>
      <c r="BF291" s="1"/>
      <c r="BG291" s="1"/>
    </row>
    <row r="292" spans="56:59" ht="15.75" customHeight="1" x14ac:dyDescent="0.25">
      <c r="BD292" s="6"/>
      <c r="BE292" s="7"/>
      <c r="BF292" s="1"/>
      <c r="BG292" s="1"/>
    </row>
    <row r="293" spans="56:59" ht="15.75" customHeight="1" x14ac:dyDescent="0.25">
      <c r="BD293" s="6"/>
      <c r="BE293" s="7"/>
      <c r="BF293" s="1"/>
      <c r="BG293" s="1"/>
    </row>
    <row r="294" spans="56:59" ht="15.75" customHeight="1" x14ac:dyDescent="0.25">
      <c r="BD294" s="6"/>
      <c r="BE294" s="7"/>
      <c r="BF294" s="1"/>
      <c r="BG294" s="1"/>
    </row>
    <row r="295" spans="56:59" ht="15.75" customHeight="1" x14ac:dyDescent="0.25">
      <c r="BD295" s="6"/>
      <c r="BE295" s="7"/>
      <c r="BF295" s="1"/>
      <c r="BG295" s="1"/>
    </row>
    <row r="296" spans="56:59" ht="15.75" customHeight="1" x14ac:dyDescent="0.25">
      <c r="BD296" s="6"/>
      <c r="BE296" s="7"/>
      <c r="BF296" s="1"/>
      <c r="BG296" s="1"/>
    </row>
    <row r="297" spans="56:59" ht="15.75" customHeight="1" x14ac:dyDescent="0.25">
      <c r="BD297" s="6"/>
      <c r="BE297" s="7"/>
      <c r="BF297" s="1"/>
      <c r="BG297" s="1"/>
    </row>
    <row r="298" spans="56:59" ht="15.75" customHeight="1" x14ac:dyDescent="0.25">
      <c r="BD298" s="6"/>
      <c r="BE298" s="7"/>
      <c r="BF298" s="1"/>
      <c r="BG298" s="1"/>
    </row>
    <row r="299" spans="56:59" ht="15.75" customHeight="1" x14ac:dyDescent="0.25">
      <c r="BD299" s="6"/>
      <c r="BE299" s="7"/>
      <c r="BF299" s="1"/>
      <c r="BG299" s="1"/>
    </row>
    <row r="300" spans="56:59" ht="15.75" customHeight="1" x14ac:dyDescent="0.25">
      <c r="BD300" s="6"/>
      <c r="BE300" s="7"/>
      <c r="BF300" s="1"/>
      <c r="BG300" s="1"/>
    </row>
    <row r="301" spans="56:59" ht="15.75" customHeight="1" x14ac:dyDescent="0.25">
      <c r="BD301" s="6"/>
      <c r="BE301" s="7"/>
      <c r="BF301" s="1"/>
      <c r="BG301" s="1"/>
    </row>
    <row r="302" spans="56:59" ht="15.75" customHeight="1" x14ac:dyDescent="0.25">
      <c r="BD302" s="6"/>
      <c r="BE302" s="7"/>
      <c r="BF302" s="1"/>
      <c r="BG302" s="1"/>
    </row>
    <row r="303" spans="56:59" ht="15.75" customHeight="1" x14ac:dyDescent="0.25">
      <c r="BD303" s="6"/>
      <c r="BE303" s="7"/>
      <c r="BF303" s="1"/>
      <c r="BG303" s="1"/>
    </row>
    <row r="304" spans="56:59" ht="15.75" customHeight="1" x14ac:dyDescent="0.25">
      <c r="BD304" s="6"/>
      <c r="BE304" s="7"/>
      <c r="BF304" s="1"/>
      <c r="BG304" s="1"/>
    </row>
    <row r="305" spans="56:59" ht="15.75" customHeight="1" x14ac:dyDescent="0.25">
      <c r="BD305" s="6"/>
      <c r="BE305" s="7"/>
      <c r="BF305" s="1"/>
      <c r="BG305" s="1"/>
    </row>
    <row r="306" spans="56:59" ht="15.75" customHeight="1" x14ac:dyDescent="0.25">
      <c r="BD306" s="6"/>
      <c r="BE306" s="7"/>
      <c r="BF306" s="1"/>
      <c r="BG306" s="1"/>
    </row>
    <row r="307" spans="56:59" ht="15.75" customHeight="1" x14ac:dyDescent="0.25">
      <c r="BD307" s="6"/>
      <c r="BE307" s="7"/>
      <c r="BF307" s="1"/>
      <c r="BG307" s="1"/>
    </row>
    <row r="308" spans="56:59" ht="15.75" customHeight="1" x14ac:dyDescent="0.25">
      <c r="BD308" s="6"/>
      <c r="BE308" s="7"/>
      <c r="BF308" s="1"/>
      <c r="BG308" s="1"/>
    </row>
    <row r="309" spans="56:59" ht="15.75" customHeight="1" x14ac:dyDescent="0.25">
      <c r="BD309" s="6"/>
      <c r="BE309" s="7"/>
      <c r="BF309" s="1"/>
      <c r="BG309" s="1"/>
    </row>
    <row r="310" spans="56:59" ht="15.75" customHeight="1" x14ac:dyDescent="0.25">
      <c r="BD310" s="6"/>
      <c r="BE310" s="7"/>
      <c r="BF310" s="1"/>
      <c r="BG310" s="1"/>
    </row>
    <row r="311" spans="56:59" ht="15.75" customHeight="1" x14ac:dyDescent="0.25">
      <c r="BD311" s="6"/>
      <c r="BE311" s="7"/>
      <c r="BF311" s="1"/>
      <c r="BG311" s="1"/>
    </row>
    <row r="312" spans="56:59" ht="15.75" customHeight="1" x14ac:dyDescent="0.25">
      <c r="BD312" s="6"/>
      <c r="BE312" s="7"/>
      <c r="BF312" s="1"/>
      <c r="BG312" s="1"/>
    </row>
    <row r="313" spans="56:59" ht="15.75" customHeight="1" x14ac:dyDescent="0.25">
      <c r="BD313" s="6"/>
      <c r="BE313" s="7"/>
      <c r="BF313" s="1"/>
      <c r="BG313" s="1"/>
    </row>
    <row r="314" spans="56:59" ht="15.75" customHeight="1" x14ac:dyDescent="0.25">
      <c r="BD314" s="6"/>
      <c r="BE314" s="7"/>
      <c r="BF314" s="1"/>
      <c r="BG314" s="1"/>
    </row>
    <row r="315" spans="56:59" ht="15.75" customHeight="1" x14ac:dyDescent="0.25">
      <c r="BD315" s="6"/>
      <c r="BE315" s="7"/>
      <c r="BF315" s="1"/>
      <c r="BG315" s="1"/>
    </row>
    <row r="316" spans="56:59" ht="15.75" customHeight="1" x14ac:dyDescent="0.25">
      <c r="BD316" s="6"/>
      <c r="BE316" s="7"/>
      <c r="BF316" s="1"/>
      <c r="BG316" s="1"/>
    </row>
    <row r="317" spans="56:59" ht="15.75" customHeight="1" x14ac:dyDescent="0.25">
      <c r="BD317" s="6"/>
      <c r="BE317" s="7"/>
      <c r="BF317" s="1"/>
      <c r="BG317" s="1"/>
    </row>
    <row r="318" spans="56:59" ht="15.75" customHeight="1" x14ac:dyDescent="0.25">
      <c r="BD318" s="6"/>
      <c r="BE318" s="7"/>
      <c r="BF318" s="1"/>
      <c r="BG318" s="1"/>
    </row>
    <row r="319" spans="56:59" ht="15.75" customHeight="1" x14ac:dyDescent="0.25">
      <c r="BD319" s="6"/>
      <c r="BE319" s="7"/>
      <c r="BF319" s="1"/>
      <c r="BG319" s="1"/>
    </row>
    <row r="320" spans="56:59" ht="15.75" customHeight="1" x14ac:dyDescent="0.25">
      <c r="BD320" s="6"/>
      <c r="BE320" s="7"/>
      <c r="BF320" s="1"/>
      <c r="BG320" s="1"/>
    </row>
    <row r="321" spans="56:59" ht="15.75" customHeight="1" x14ac:dyDescent="0.25">
      <c r="BD321" s="6"/>
      <c r="BE321" s="7"/>
      <c r="BF321" s="1"/>
      <c r="BG321" s="1"/>
    </row>
    <row r="322" spans="56:59" ht="15.75" customHeight="1" x14ac:dyDescent="0.25">
      <c r="BD322" s="6"/>
      <c r="BE322" s="7"/>
      <c r="BF322" s="1"/>
      <c r="BG322" s="1"/>
    </row>
    <row r="323" spans="56:59" ht="15.75" customHeight="1" x14ac:dyDescent="0.25">
      <c r="BD323" s="6"/>
      <c r="BE323" s="7"/>
      <c r="BF323" s="1"/>
      <c r="BG323" s="1"/>
    </row>
    <row r="324" spans="56:59" ht="15.75" customHeight="1" x14ac:dyDescent="0.25">
      <c r="BD324" s="6"/>
      <c r="BE324" s="7"/>
      <c r="BF324" s="1"/>
      <c r="BG324" s="1"/>
    </row>
    <row r="325" spans="56:59" ht="15.75" customHeight="1" x14ac:dyDescent="0.25">
      <c r="BD325" s="6"/>
      <c r="BE325" s="7"/>
      <c r="BF325" s="1"/>
      <c r="BG325" s="1"/>
    </row>
    <row r="326" spans="56:59" ht="15.75" customHeight="1" x14ac:dyDescent="0.25">
      <c r="BD326" s="6"/>
      <c r="BE326" s="7"/>
      <c r="BF326" s="1"/>
      <c r="BG326" s="1"/>
    </row>
    <row r="327" spans="56:59" ht="15.75" customHeight="1" x14ac:dyDescent="0.25">
      <c r="BD327" s="6"/>
      <c r="BE327" s="7"/>
      <c r="BF327" s="1"/>
      <c r="BG327" s="1"/>
    </row>
    <row r="328" spans="56:59" ht="15.75" customHeight="1" x14ac:dyDescent="0.25">
      <c r="BD328" s="6"/>
      <c r="BE328" s="7"/>
      <c r="BF328" s="1"/>
      <c r="BG328" s="1"/>
    </row>
    <row r="329" spans="56:59" ht="15.75" customHeight="1" x14ac:dyDescent="0.25">
      <c r="BD329" s="6"/>
      <c r="BE329" s="7"/>
      <c r="BF329" s="1"/>
      <c r="BG329" s="1"/>
    </row>
    <row r="330" spans="56:59" ht="15.75" customHeight="1" x14ac:dyDescent="0.25">
      <c r="BD330" s="6"/>
      <c r="BE330" s="7"/>
      <c r="BF330" s="1"/>
      <c r="BG330" s="1"/>
    </row>
    <row r="331" spans="56:59" ht="15.75" customHeight="1" x14ac:dyDescent="0.25">
      <c r="BD331" s="6"/>
      <c r="BE331" s="7"/>
      <c r="BF331" s="1"/>
      <c r="BG331" s="1"/>
    </row>
    <row r="332" spans="56:59" ht="15.75" customHeight="1" x14ac:dyDescent="0.25">
      <c r="BD332" s="6"/>
      <c r="BE332" s="7"/>
      <c r="BF332" s="1"/>
      <c r="BG332" s="1"/>
    </row>
    <row r="333" spans="56:59" ht="15.75" customHeight="1" x14ac:dyDescent="0.25">
      <c r="BD333" s="6"/>
      <c r="BE333" s="7"/>
      <c r="BF333" s="1"/>
      <c r="BG333" s="1"/>
    </row>
    <row r="334" spans="56:59" ht="15.75" customHeight="1" x14ac:dyDescent="0.25">
      <c r="BD334" s="6"/>
      <c r="BE334" s="7"/>
      <c r="BF334" s="1"/>
      <c r="BG334" s="1"/>
    </row>
    <row r="335" spans="56:59" ht="15.75" customHeight="1" x14ac:dyDescent="0.25">
      <c r="BD335" s="6"/>
      <c r="BE335" s="7"/>
      <c r="BF335" s="1"/>
      <c r="BG335" s="1"/>
    </row>
    <row r="336" spans="56:59" ht="15.75" customHeight="1" x14ac:dyDescent="0.25">
      <c r="BD336" s="6"/>
      <c r="BE336" s="7"/>
      <c r="BF336" s="1"/>
      <c r="BG336" s="1"/>
    </row>
    <row r="337" spans="56:59" ht="15.75" customHeight="1" x14ac:dyDescent="0.25">
      <c r="BD337" s="6"/>
      <c r="BE337" s="7"/>
      <c r="BF337" s="1"/>
      <c r="BG337" s="1"/>
    </row>
    <row r="338" spans="56:59" ht="15.75" customHeight="1" x14ac:dyDescent="0.25">
      <c r="BD338" s="6"/>
      <c r="BE338" s="7"/>
      <c r="BF338" s="1"/>
      <c r="BG338" s="1"/>
    </row>
    <row r="339" spans="56:59" ht="15.75" customHeight="1" x14ac:dyDescent="0.25">
      <c r="BD339" s="6"/>
      <c r="BE339" s="7"/>
      <c r="BF339" s="1"/>
      <c r="BG339" s="1"/>
    </row>
    <row r="340" spans="56:59" ht="15.75" customHeight="1" x14ac:dyDescent="0.25">
      <c r="BD340" s="6"/>
      <c r="BE340" s="7"/>
      <c r="BF340" s="1"/>
      <c r="BG340" s="1"/>
    </row>
    <row r="341" spans="56:59" ht="15.75" customHeight="1" x14ac:dyDescent="0.25">
      <c r="BD341" s="6"/>
      <c r="BE341" s="7"/>
      <c r="BF341" s="1"/>
      <c r="BG341" s="1"/>
    </row>
    <row r="342" spans="56:59" ht="15.75" customHeight="1" x14ac:dyDescent="0.25">
      <c r="BD342" s="6"/>
      <c r="BE342" s="7"/>
      <c r="BF342" s="1"/>
      <c r="BG342" s="1"/>
    </row>
    <row r="343" spans="56:59" ht="15.75" customHeight="1" x14ac:dyDescent="0.25">
      <c r="BD343" s="6"/>
      <c r="BE343" s="7"/>
      <c r="BF343" s="1"/>
      <c r="BG343" s="1"/>
    </row>
    <row r="344" spans="56:59" ht="15.75" customHeight="1" x14ac:dyDescent="0.25">
      <c r="BD344" s="6"/>
      <c r="BE344" s="7"/>
      <c r="BF344" s="1"/>
      <c r="BG344" s="1"/>
    </row>
    <row r="345" spans="56:59" ht="15.75" customHeight="1" x14ac:dyDescent="0.25">
      <c r="BD345" s="6"/>
      <c r="BE345" s="7"/>
      <c r="BF345" s="1"/>
      <c r="BG345" s="1"/>
    </row>
    <row r="346" spans="56:59" ht="15.75" customHeight="1" x14ac:dyDescent="0.25">
      <c r="BD346" s="6"/>
      <c r="BE346" s="7"/>
      <c r="BF346" s="1"/>
      <c r="BG346" s="1"/>
    </row>
    <row r="347" spans="56:59" ht="15.75" customHeight="1" x14ac:dyDescent="0.25">
      <c r="BD347" s="6"/>
      <c r="BE347" s="7"/>
      <c r="BF347" s="1"/>
      <c r="BG347" s="1"/>
    </row>
    <row r="348" spans="56:59" ht="15.75" customHeight="1" x14ac:dyDescent="0.25">
      <c r="BD348" s="6"/>
      <c r="BE348" s="7"/>
      <c r="BF348" s="1"/>
      <c r="BG348" s="1"/>
    </row>
    <row r="349" spans="56:59" ht="15.75" customHeight="1" x14ac:dyDescent="0.25">
      <c r="BD349" s="6"/>
      <c r="BE349" s="7"/>
      <c r="BF349" s="1"/>
      <c r="BG349" s="1"/>
    </row>
    <row r="350" spans="56:59" ht="15.75" customHeight="1" x14ac:dyDescent="0.25">
      <c r="BD350" s="6"/>
      <c r="BE350" s="7"/>
      <c r="BF350" s="1"/>
      <c r="BG350" s="1"/>
    </row>
    <row r="351" spans="56:59" ht="15.75" customHeight="1" x14ac:dyDescent="0.25">
      <c r="BD351" s="6"/>
      <c r="BE351" s="7"/>
      <c r="BF351" s="1"/>
      <c r="BG351" s="1"/>
    </row>
    <row r="352" spans="56:59" ht="15.75" customHeight="1" x14ac:dyDescent="0.25">
      <c r="BD352" s="6"/>
      <c r="BE352" s="7"/>
      <c r="BF352" s="1"/>
      <c r="BG352" s="1"/>
    </row>
    <row r="353" spans="56:59" ht="15.75" customHeight="1" x14ac:dyDescent="0.25">
      <c r="BD353" s="6"/>
      <c r="BE353" s="7"/>
      <c r="BF353" s="1"/>
      <c r="BG353" s="1"/>
    </row>
    <row r="354" spans="56:59" ht="15.75" customHeight="1" x14ac:dyDescent="0.25">
      <c r="BD354" s="6"/>
      <c r="BE354" s="7"/>
      <c r="BF354" s="1"/>
      <c r="BG354" s="1"/>
    </row>
    <row r="355" spans="56:59" ht="15.75" customHeight="1" x14ac:dyDescent="0.25">
      <c r="BD355" s="6"/>
      <c r="BE355" s="7"/>
      <c r="BF355" s="1"/>
      <c r="BG355" s="1"/>
    </row>
    <row r="356" spans="56:59" ht="15.75" customHeight="1" x14ac:dyDescent="0.25">
      <c r="BD356" s="6"/>
      <c r="BE356" s="7"/>
      <c r="BF356" s="1"/>
      <c r="BG356" s="1"/>
    </row>
    <row r="357" spans="56:59" ht="15.75" customHeight="1" x14ac:dyDescent="0.25">
      <c r="BD357" s="6"/>
      <c r="BE357" s="7"/>
      <c r="BF357" s="1"/>
      <c r="BG357" s="1"/>
    </row>
    <row r="358" spans="56:59" ht="15.75" customHeight="1" x14ac:dyDescent="0.25">
      <c r="BD358" s="6"/>
      <c r="BE358" s="7"/>
      <c r="BF358" s="1"/>
      <c r="BG358" s="1"/>
    </row>
    <row r="359" spans="56:59" ht="15.75" customHeight="1" x14ac:dyDescent="0.25">
      <c r="BD359" s="6"/>
      <c r="BE359" s="7"/>
      <c r="BF359" s="1"/>
      <c r="BG359" s="1"/>
    </row>
    <row r="360" spans="56:59" ht="15.75" customHeight="1" x14ac:dyDescent="0.25">
      <c r="BD360" s="6"/>
      <c r="BE360" s="7"/>
      <c r="BF360" s="1"/>
      <c r="BG360" s="1"/>
    </row>
    <row r="361" spans="56:59" ht="15.75" customHeight="1" x14ac:dyDescent="0.25">
      <c r="BD361" s="6"/>
      <c r="BE361" s="7"/>
      <c r="BF361" s="1"/>
      <c r="BG361" s="1"/>
    </row>
    <row r="362" spans="56:59" ht="15.75" customHeight="1" x14ac:dyDescent="0.25">
      <c r="BD362" s="6"/>
      <c r="BE362" s="7"/>
      <c r="BF362" s="1"/>
      <c r="BG362" s="1"/>
    </row>
    <row r="363" spans="56:59" ht="15.75" customHeight="1" x14ac:dyDescent="0.25">
      <c r="BD363" s="6"/>
      <c r="BE363" s="7"/>
      <c r="BF363" s="1"/>
      <c r="BG363" s="1"/>
    </row>
    <row r="364" spans="56:59" ht="15.75" customHeight="1" x14ac:dyDescent="0.25">
      <c r="BD364" s="6"/>
      <c r="BE364" s="7"/>
      <c r="BF364" s="1"/>
      <c r="BG364" s="1"/>
    </row>
    <row r="365" spans="56:59" ht="15.75" customHeight="1" x14ac:dyDescent="0.25">
      <c r="BD365" s="6"/>
      <c r="BE365" s="7"/>
      <c r="BF365" s="1"/>
      <c r="BG365" s="1"/>
    </row>
    <row r="366" spans="56:59" ht="15.75" customHeight="1" x14ac:dyDescent="0.25">
      <c r="BD366" s="6"/>
      <c r="BE366" s="7"/>
      <c r="BF366" s="1"/>
      <c r="BG366" s="1"/>
    </row>
    <row r="367" spans="56:59" ht="15.75" customHeight="1" x14ac:dyDescent="0.25">
      <c r="BD367" s="6"/>
      <c r="BE367" s="7"/>
      <c r="BF367" s="1"/>
      <c r="BG367" s="1"/>
    </row>
    <row r="368" spans="56:59" ht="15.75" customHeight="1" x14ac:dyDescent="0.25">
      <c r="BD368" s="6"/>
      <c r="BE368" s="7"/>
      <c r="BF368" s="1"/>
      <c r="BG368" s="1"/>
    </row>
    <row r="369" spans="56:59" ht="15.75" customHeight="1" x14ac:dyDescent="0.25">
      <c r="BD369" s="6"/>
      <c r="BE369" s="7"/>
      <c r="BF369" s="1"/>
      <c r="BG369" s="1"/>
    </row>
    <row r="370" spans="56:59" ht="15.75" customHeight="1" x14ac:dyDescent="0.25">
      <c r="BD370" s="6"/>
      <c r="BE370" s="7"/>
      <c r="BF370" s="1"/>
      <c r="BG370" s="1"/>
    </row>
    <row r="371" spans="56:59" ht="15.75" customHeight="1" x14ac:dyDescent="0.25">
      <c r="BD371" s="6"/>
      <c r="BE371" s="7"/>
      <c r="BF371" s="1"/>
      <c r="BG371" s="1"/>
    </row>
    <row r="372" spans="56:59" ht="15.75" customHeight="1" x14ac:dyDescent="0.25">
      <c r="BD372" s="6"/>
      <c r="BE372" s="7"/>
      <c r="BF372" s="1"/>
      <c r="BG372" s="1"/>
    </row>
    <row r="373" spans="56:59" ht="15.75" customHeight="1" x14ac:dyDescent="0.25">
      <c r="BD373" s="6"/>
      <c r="BE373" s="7"/>
      <c r="BF373" s="1"/>
      <c r="BG373" s="1"/>
    </row>
    <row r="374" spans="56:59" ht="15.75" customHeight="1" x14ac:dyDescent="0.25">
      <c r="BD374" s="6"/>
      <c r="BE374" s="7"/>
      <c r="BF374" s="1"/>
      <c r="BG374" s="1"/>
    </row>
    <row r="375" spans="56:59" ht="15.75" customHeight="1" x14ac:dyDescent="0.25">
      <c r="BD375" s="6"/>
      <c r="BE375" s="7"/>
      <c r="BF375" s="1"/>
      <c r="BG375" s="1"/>
    </row>
    <row r="376" spans="56:59" ht="15.75" customHeight="1" x14ac:dyDescent="0.25">
      <c r="BD376" s="6"/>
      <c r="BE376" s="7"/>
      <c r="BF376" s="1"/>
      <c r="BG376" s="1"/>
    </row>
    <row r="377" spans="56:59" ht="15.75" customHeight="1" x14ac:dyDescent="0.25">
      <c r="BD377" s="6"/>
      <c r="BE377" s="7"/>
      <c r="BF377" s="1"/>
      <c r="BG377" s="1"/>
    </row>
    <row r="378" spans="56:59" ht="15.75" customHeight="1" x14ac:dyDescent="0.25">
      <c r="BD378" s="6"/>
      <c r="BE378" s="7"/>
      <c r="BF378" s="1"/>
      <c r="BG378" s="1"/>
    </row>
    <row r="379" spans="56:59" ht="15.75" customHeight="1" x14ac:dyDescent="0.25">
      <c r="BD379" s="6"/>
      <c r="BE379" s="7"/>
      <c r="BF379" s="1"/>
      <c r="BG379" s="1"/>
    </row>
    <row r="380" spans="56:59" ht="15.75" customHeight="1" x14ac:dyDescent="0.25">
      <c r="BD380" s="6"/>
      <c r="BE380" s="7"/>
      <c r="BF380" s="1"/>
      <c r="BG380" s="1"/>
    </row>
    <row r="381" spans="56:59" ht="15.75" customHeight="1" x14ac:dyDescent="0.25">
      <c r="BD381" s="6"/>
      <c r="BE381" s="7"/>
      <c r="BF381" s="1"/>
      <c r="BG381" s="1"/>
    </row>
    <row r="382" spans="56:59" ht="15.75" customHeight="1" x14ac:dyDescent="0.25">
      <c r="BD382" s="6"/>
      <c r="BE382" s="7"/>
      <c r="BF382" s="1"/>
      <c r="BG382" s="1"/>
    </row>
    <row r="383" spans="56:59" ht="15.75" customHeight="1" x14ac:dyDescent="0.25">
      <c r="BD383" s="6"/>
      <c r="BE383" s="7"/>
      <c r="BF383" s="1"/>
      <c r="BG383" s="1"/>
    </row>
    <row r="384" spans="56:59" ht="15.75" customHeight="1" x14ac:dyDescent="0.25">
      <c r="BD384" s="6"/>
      <c r="BE384" s="7"/>
      <c r="BF384" s="1"/>
      <c r="BG384" s="1"/>
    </row>
    <row r="385" spans="56:59" ht="15.75" customHeight="1" x14ac:dyDescent="0.25">
      <c r="BD385" s="6"/>
      <c r="BE385" s="7"/>
      <c r="BF385" s="1"/>
      <c r="BG385" s="1"/>
    </row>
    <row r="386" spans="56:59" ht="15.75" customHeight="1" x14ac:dyDescent="0.25">
      <c r="BD386" s="6"/>
      <c r="BE386" s="7"/>
      <c r="BF386" s="1"/>
      <c r="BG386" s="1"/>
    </row>
    <row r="387" spans="56:59" ht="15.75" customHeight="1" x14ac:dyDescent="0.25">
      <c r="BD387" s="6"/>
      <c r="BE387" s="7"/>
      <c r="BF387" s="1"/>
      <c r="BG387" s="1"/>
    </row>
    <row r="388" spans="56:59" ht="15.75" customHeight="1" x14ac:dyDescent="0.25">
      <c r="BD388" s="6"/>
      <c r="BE388" s="7"/>
      <c r="BF388" s="1"/>
      <c r="BG388" s="1"/>
    </row>
    <row r="389" spans="56:59" ht="15.75" customHeight="1" x14ac:dyDescent="0.25">
      <c r="BD389" s="6"/>
      <c r="BE389" s="7"/>
      <c r="BF389" s="1"/>
      <c r="BG389" s="1"/>
    </row>
    <row r="390" spans="56:59" ht="15.75" customHeight="1" x14ac:dyDescent="0.25">
      <c r="BD390" s="6"/>
      <c r="BE390" s="7"/>
      <c r="BF390" s="1"/>
      <c r="BG390" s="1"/>
    </row>
    <row r="391" spans="56:59" ht="15.75" customHeight="1" x14ac:dyDescent="0.25">
      <c r="BD391" s="6"/>
      <c r="BE391" s="7"/>
      <c r="BF391" s="1"/>
      <c r="BG391" s="1"/>
    </row>
    <row r="392" spans="56:59" ht="15.75" customHeight="1" x14ac:dyDescent="0.25">
      <c r="BD392" s="6"/>
      <c r="BE392" s="7"/>
      <c r="BF392" s="1"/>
      <c r="BG392" s="1"/>
    </row>
    <row r="393" spans="56:59" ht="15.75" customHeight="1" x14ac:dyDescent="0.25">
      <c r="BD393" s="6"/>
      <c r="BE393" s="7"/>
      <c r="BF393" s="1"/>
      <c r="BG393" s="1"/>
    </row>
    <row r="394" spans="56:59" ht="15.75" customHeight="1" x14ac:dyDescent="0.25">
      <c r="BD394" s="6"/>
      <c r="BE394" s="7"/>
      <c r="BF394" s="1"/>
      <c r="BG394" s="1"/>
    </row>
    <row r="395" spans="56:59" ht="15.75" customHeight="1" x14ac:dyDescent="0.25">
      <c r="BD395" s="6"/>
      <c r="BE395" s="7"/>
      <c r="BF395" s="1"/>
      <c r="BG395" s="1"/>
    </row>
    <row r="396" spans="56:59" ht="15.75" customHeight="1" x14ac:dyDescent="0.25">
      <c r="BD396" s="6"/>
      <c r="BE396" s="7"/>
      <c r="BF396" s="1"/>
      <c r="BG396" s="1"/>
    </row>
    <row r="397" spans="56:59" ht="15.75" customHeight="1" x14ac:dyDescent="0.25">
      <c r="BD397" s="6"/>
      <c r="BE397" s="7"/>
      <c r="BF397" s="1"/>
      <c r="BG397" s="1"/>
    </row>
    <row r="398" spans="56:59" ht="15.75" customHeight="1" x14ac:dyDescent="0.25">
      <c r="BD398" s="6"/>
      <c r="BE398" s="7"/>
      <c r="BF398" s="1"/>
      <c r="BG398" s="1"/>
    </row>
    <row r="399" spans="56:59" ht="15.75" customHeight="1" x14ac:dyDescent="0.25">
      <c r="BD399" s="6"/>
      <c r="BE399" s="7"/>
      <c r="BF399" s="1"/>
      <c r="BG399" s="1"/>
    </row>
    <row r="400" spans="56:59" ht="15.75" customHeight="1" x14ac:dyDescent="0.25">
      <c r="BD400" s="6"/>
      <c r="BE400" s="7"/>
      <c r="BF400" s="1"/>
      <c r="BG400" s="1"/>
    </row>
    <row r="401" spans="56:59" ht="15.75" customHeight="1" x14ac:dyDescent="0.25">
      <c r="BD401" s="6"/>
      <c r="BE401" s="7"/>
      <c r="BF401" s="1"/>
      <c r="BG401" s="1"/>
    </row>
    <row r="402" spans="56:59" ht="15.75" customHeight="1" x14ac:dyDescent="0.25">
      <c r="BD402" s="6"/>
      <c r="BE402" s="7"/>
      <c r="BF402" s="1"/>
      <c r="BG402" s="1"/>
    </row>
    <row r="403" spans="56:59" ht="15.75" customHeight="1" x14ac:dyDescent="0.25">
      <c r="BD403" s="6"/>
      <c r="BE403" s="7"/>
      <c r="BF403" s="1"/>
      <c r="BG403" s="1"/>
    </row>
    <row r="404" spans="56:59" ht="15.75" customHeight="1" x14ac:dyDescent="0.25">
      <c r="BD404" s="6"/>
      <c r="BE404" s="7"/>
      <c r="BF404" s="1"/>
      <c r="BG404" s="1"/>
    </row>
    <row r="405" spans="56:59" ht="15.75" customHeight="1" x14ac:dyDescent="0.25">
      <c r="BD405" s="6"/>
      <c r="BE405" s="7"/>
      <c r="BF405" s="1"/>
      <c r="BG405" s="1"/>
    </row>
    <row r="406" spans="56:59" ht="15.75" customHeight="1" x14ac:dyDescent="0.25">
      <c r="BD406" s="6"/>
      <c r="BE406" s="7"/>
      <c r="BF406" s="1"/>
      <c r="BG406" s="1"/>
    </row>
    <row r="407" spans="56:59" ht="15.75" customHeight="1" x14ac:dyDescent="0.25">
      <c r="BD407" s="6"/>
      <c r="BE407" s="7"/>
      <c r="BF407" s="1"/>
      <c r="BG407" s="1"/>
    </row>
    <row r="408" spans="56:59" ht="15.75" customHeight="1" x14ac:dyDescent="0.25">
      <c r="BD408" s="6"/>
      <c r="BE408" s="7"/>
      <c r="BF408" s="1"/>
      <c r="BG408" s="1"/>
    </row>
    <row r="409" spans="56:59" ht="15.75" customHeight="1" x14ac:dyDescent="0.25">
      <c r="BD409" s="6"/>
      <c r="BE409" s="7"/>
      <c r="BF409" s="1"/>
      <c r="BG409" s="1"/>
    </row>
    <row r="410" spans="56:59" ht="15.75" customHeight="1" x14ac:dyDescent="0.25">
      <c r="BD410" s="6"/>
      <c r="BE410" s="7"/>
      <c r="BF410" s="1"/>
      <c r="BG410" s="1"/>
    </row>
    <row r="411" spans="56:59" ht="15.75" customHeight="1" x14ac:dyDescent="0.25">
      <c r="BD411" s="6"/>
      <c r="BE411" s="7"/>
      <c r="BF411" s="1"/>
      <c r="BG411" s="1"/>
    </row>
    <row r="412" spans="56:59" ht="15.75" customHeight="1" x14ac:dyDescent="0.25">
      <c r="BD412" s="6"/>
      <c r="BE412" s="7"/>
      <c r="BF412" s="1"/>
      <c r="BG412" s="1"/>
    </row>
    <row r="413" spans="56:59" ht="15.75" customHeight="1" x14ac:dyDescent="0.25">
      <c r="BD413" s="6"/>
      <c r="BE413" s="7"/>
      <c r="BF413" s="1"/>
      <c r="BG413" s="1"/>
    </row>
    <row r="414" spans="56:59" ht="15.75" customHeight="1" x14ac:dyDescent="0.25">
      <c r="BD414" s="6"/>
      <c r="BE414" s="7"/>
      <c r="BF414" s="1"/>
      <c r="BG414" s="1"/>
    </row>
    <row r="415" spans="56:59" ht="15.75" customHeight="1" x14ac:dyDescent="0.25">
      <c r="BD415" s="6"/>
      <c r="BE415" s="7"/>
      <c r="BF415" s="1"/>
      <c r="BG415" s="1"/>
    </row>
    <row r="416" spans="56:59" ht="15.75" customHeight="1" x14ac:dyDescent="0.25">
      <c r="BD416" s="6"/>
      <c r="BE416" s="7"/>
      <c r="BF416" s="1"/>
      <c r="BG416" s="1"/>
    </row>
    <row r="417" spans="56:59" ht="15.75" customHeight="1" x14ac:dyDescent="0.25">
      <c r="BD417" s="6"/>
      <c r="BE417" s="7"/>
      <c r="BF417" s="1"/>
      <c r="BG417" s="1"/>
    </row>
    <row r="418" spans="56:59" ht="15.75" customHeight="1" x14ac:dyDescent="0.25">
      <c r="BD418" s="6"/>
      <c r="BE418" s="7"/>
      <c r="BF418" s="1"/>
      <c r="BG418" s="1"/>
    </row>
    <row r="419" spans="56:59" ht="15.75" customHeight="1" x14ac:dyDescent="0.25">
      <c r="BD419" s="6"/>
      <c r="BE419" s="7"/>
      <c r="BF419" s="1"/>
      <c r="BG419" s="1"/>
    </row>
    <row r="420" spans="56:59" ht="15.75" customHeight="1" x14ac:dyDescent="0.25">
      <c r="BD420" s="6"/>
      <c r="BE420" s="7"/>
      <c r="BF420" s="1"/>
      <c r="BG420" s="1"/>
    </row>
    <row r="421" spans="56:59" ht="15.75" customHeight="1" x14ac:dyDescent="0.25">
      <c r="BD421" s="6"/>
      <c r="BE421" s="7"/>
      <c r="BF421" s="1"/>
      <c r="BG421" s="1"/>
    </row>
    <row r="422" spans="56:59" ht="15.75" customHeight="1" x14ac:dyDescent="0.25">
      <c r="BD422" s="6"/>
      <c r="BE422" s="7"/>
      <c r="BF422" s="1"/>
      <c r="BG422" s="1"/>
    </row>
    <row r="423" spans="56:59" ht="15.75" customHeight="1" x14ac:dyDescent="0.25">
      <c r="BD423" s="6"/>
      <c r="BE423" s="7"/>
      <c r="BF423" s="1"/>
      <c r="BG423" s="1"/>
    </row>
    <row r="424" spans="56:59" ht="15.75" customHeight="1" x14ac:dyDescent="0.25">
      <c r="BD424" s="6"/>
      <c r="BE424" s="7"/>
      <c r="BF424" s="1"/>
      <c r="BG424" s="1"/>
    </row>
    <row r="425" spans="56:59" ht="15.75" customHeight="1" x14ac:dyDescent="0.25">
      <c r="BD425" s="6"/>
      <c r="BE425" s="7"/>
      <c r="BF425" s="1"/>
      <c r="BG425" s="1"/>
    </row>
    <row r="426" spans="56:59" ht="15.75" customHeight="1" x14ac:dyDescent="0.25">
      <c r="BD426" s="6"/>
      <c r="BE426" s="7"/>
      <c r="BF426" s="1"/>
      <c r="BG426" s="1"/>
    </row>
    <row r="427" spans="56:59" ht="15.75" customHeight="1" x14ac:dyDescent="0.25">
      <c r="BD427" s="6"/>
      <c r="BE427" s="7"/>
      <c r="BF427" s="1"/>
      <c r="BG427" s="1"/>
    </row>
    <row r="428" spans="56:59" ht="15.75" customHeight="1" x14ac:dyDescent="0.25">
      <c r="BD428" s="6"/>
      <c r="BE428" s="7"/>
      <c r="BF428" s="1"/>
      <c r="BG428" s="1"/>
    </row>
    <row r="429" spans="56:59" ht="15.75" customHeight="1" x14ac:dyDescent="0.25">
      <c r="BD429" s="6"/>
      <c r="BE429" s="7"/>
      <c r="BF429" s="1"/>
      <c r="BG429" s="1"/>
    </row>
    <row r="430" spans="56:59" ht="15.75" customHeight="1" x14ac:dyDescent="0.25">
      <c r="BD430" s="6"/>
      <c r="BE430" s="7"/>
      <c r="BF430" s="1"/>
      <c r="BG430" s="1"/>
    </row>
    <row r="431" spans="56:59" ht="15.75" customHeight="1" x14ac:dyDescent="0.25">
      <c r="BD431" s="6"/>
      <c r="BE431" s="7"/>
      <c r="BF431" s="1"/>
      <c r="BG431" s="1"/>
    </row>
    <row r="432" spans="56:59" ht="15.75" customHeight="1" x14ac:dyDescent="0.25">
      <c r="BD432" s="6"/>
      <c r="BE432" s="7"/>
      <c r="BF432" s="1"/>
      <c r="BG432" s="1"/>
    </row>
    <row r="433" spans="56:59" ht="15.75" customHeight="1" x14ac:dyDescent="0.25">
      <c r="BD433" s="6"/>
      <c r="BE433" s="7"/>
      <c r="BF433" s="1"/>
      <c r="BG433" s="1"/>
    </row>
    <row r="434" spans="56:59" ht="15.75" customHeight="1" x14ac:dyDescent="0.25">
      <c r="BD434" s="6"/>
      <c r="BE434" s="7"/>
      <c r="BF434" s="1"/>
      <c r="BG434" s="1"/>
    </row>
    <row r="435" spans="56:59" ht="15.75" customHeight="1" x14ac:dyDescent="0.25">
      <c r="BD435" s="6"/>
      <c r="BE435" s="7"/>
      <c r="BF435" s="1"/>
      <c r="BG435" s="1"/>
    </row>
    <row r="436" spans="56:59" ht="15.75" customHeight="1" x14ac:dyDescent="0.25">
      <c r="BD436" s="6"/>
      <c r="BE436" s="7"/>
      <c r="BF436" s="1"/>
      <c r="BG436" s="1"/>
    </row>
    <row r="437" spans="56:59" ht="15.75" customHeight="1" x14ac:dyDescent="0.25">
      <c r="BD437" s="6"/>
      <c r="BE437" s="7"/>
      <c r="BF437" s="1"/>
      <c r="BG437" s="1"/>
    </row>
    <row r="438" spans="56:59" ht="15.75" customHeight="1" x14ac:dyDescent="0.25">
      <c r="BD438" s="6"/>
      <c r="BE438" s="7"/>
      <c r="BF438" s="1"/>
      <c r="BG438" s="1"/>
    </row>
    <row r="439" spans="56:59" ht="15.75" customHeight="1" x14ac:dyDescent="0.25">
      <c r="BD439" s="6"/>
      <c r="BE439" s="7"/>
      <c r="BF439" s="1"/>
      <c r="BG439" s="1"/>
    </row>
    <row r="440" spans="56:59" ht="15.75" customHeight="1" x14ac:dyDescent="0.25">
      <c r="BD440" s="6"/>
      <c r="BE440" s="7"/>
      <c r="BF440" s="1"/>
      <c r="BG440" s="1"/>
    </row>
    <row r="441" spans="56:59" ht="15.75" customHeight="1" x14ac:dyDescent="0.25">
      <c r="BD441" s="6"/>
      <c r="BE441" s="7"/>
      <c r="BF441" s="1"/>
      <c r="BG441" s="1"/>
    </row>
    <row r="442" spans="56:59" ht="15.75" customHeight="1" x14ac:dyDescent="0.25">
      <c r="BD442" s="6"/>
      <c r="BE442" s="7"/>
      <c r="BF442" s="1"/>
      <c r="BG442" s="1"/>
    </row>
    <row r="443" spans="56:59" ht="15.75" customHeight="1" x14ac:dyDescent="0.25">
      <c r="BD443" s="6"/>
      <c r="BE443" s="7"/>
      <c r="BF443" s="1"/>
      <c r="BG443" s="1"/>
    </row>
    <row r="444" spans="56:59" ht="15.75" customHeight="1" x14ac:dyDescent="0.25">
      <c r="BD444" s="6"/>
      <c r="BE444" s="7"/>
      <c r="BF444" s="1"/>
      <c r="BG444" s="1"/>
    </row>
    <row r="445" spans="56:59" ht="15.75" customHeight="1" x14ac:dyDescent="0.25">
      <c r="BD445" s="6"/>
      <c r="BE445" s="7"/>
      <c r="BF445" s="1"/>
      <c r="BG445" s="1"/>
    </row>
    <row r="446" spans="56:59" ht="15.75" customHeight="1" x14ac:dyDescent="0.25">
      <c r="BD446" s="6"/>
      <c r="BE446" s="7"/>
      <c r="BF446" s="1"/>
      <c r="BG446" s="1"/>
    </row>
    <row r="447" spans="56:59" ht="15.75" customHeight="1" x14ac:dyDescent="0.25">
      <c r="BD447" s="6"/>
      <c r="BE447" s="7"/>
      <c r="BF447" s="1"/>
      <c r="BG447" s="1"/>
    </row>
    <row r="448" spans="56:59" ht="15.75" customHeight="1" x14ac:dyDescent="0.25">
      <c r="BD448" s="6"/>
      <c r="BE448" s="7"/>
      <c r="BF448" s="1"/>
      <c r="BG448" s="1"/>
    </row>
    <row r="449" spans="56:59" ht="15.75" customHeight="1" x14ac:dyDescent="0.25">
      <c r="BD449" s="6"/>
      <c r="BE449" s="7"/>
      <c r="BF449" s="1"/>
      <c r="BG449" s="1"/>
    </row>
    <row r="450" spans="56:59" ht="15.75" customHeight="1" x14ac:dyDescent="0.25">
      <c r="BD450" s="6"/>
      <c r="BE450" s="7"/>
      <c r="BF450" s="1"/>
      <c r="BG450" s="1"/>
    </row>
    <row r="451" spans="56:59" ht="15.75" customHeight="1" x14ac:dyDescent="0.25">
      <c r="BD451" s="6"/>
      <c r="BE451" s="7"/>
      <c r="BF451" s="1"/>
      <c r="BG451" s="1"/>
    </row>
    <row r="452" spans="56:59" ht="15.75" customHeight="1" x14ac:dyDescent="0.25">
      <c r="BD452" s="6"/>
      <c r="BE452" s="7"/>
      <c r="BF452" s="1"/>
      <c r="BG452" s="1"/>
    </row>
    <row r="453" spans="56:59" ht="15.75" customHeight="1" x14ac:dyDescent="0.25">
      <c r="BD453" s="6"/>
      <c r="BE453" s="7"/>
      <c r="BF453" s="1"/>
      <c r="BG453" s="1"/>
    </row>
    <row r="454" spans="56:59" ht="15.75" customHeight="1" x14ac:dyDescent="0.25">
      <c r="BD454" s="6"/>
      <c r="BE454" s="7"/>
      <c r="BF454" s="1"/>
      <c r="BG454" s="1"/>
    </row>
    <row r="455" spans="56:59" ht="15.75" customHeight="1" x14ac:dyDescent="0.25">
      <c r="BD455" s="6"/>
      <c r="BE455" s="7"/>
      <c r="BF455" s="1"/>
      <c r="BG455" s="1"/>
    </row>
    <row r="456" spans="56:59" ht="15.75" customHeight="1" x14ac:dyDescent="0.25">
      <c r="BD456" s="6"/>
      <c r="BE456" s="7"/>
      <c r="BF456" s="1"/>
      <c r="BG456" s="1"/>
    </row>
    <row r="457" spans="56:59" ht="15.75" customHeight="1" x14ac:dyDescent="0.25">
      <c r="BD457" s="6"/>
      <c r="BE457" s="7"/>
      <c r="BF457" s="1"/>
      <c r="BG457" s="1"/>
    </row>
    <row r="458" spans="56:59" ht="15.75" customHeight="1" x14ac:dyDescent="0.25">
      <c r="BD458" s="6"/>
      <c r="BE458" s="7"/>
      <c r="BF458" s="1"/>
      <c r="BG458" s="1"/>
    </row>
    <row r="459" spans="56:59" ht="15.75" customHeight="1" x14ac:dyDescent="0.25">
      <c r="BD459" s="6"/>
      <c r="BE459" s="7"/>
      <c r="BF459" s="1"/>
      <c r="BG459" s="1"/>
    </row>
    <row r="460" spans="56:59" ht="15.75" customHeight="1" x14ac:dyDescent="0.25">
      <c r="BD460" s="6"/>
      <c r="BE460" s="7"/>
      <c r="BF460" s="1"/>
      <c r="BG460" s="1"/>
    </row>
    <row r="461" spans="56:59" ht="15.75" customHeight="1" x14ac:dyDescent="0.25">
      <c r="BD461" s="6"/>
      <c r="BE461" s="7"/>
      <c r="BF461" s="1"/>
      <c r="BG461" s="1"/>
    </row>
    <row r="462" spans="56:59" ht="15.75" customHeight="1" x14ac:dyDescent="0.25">
      <c r="BD462" s="6"/>
      <c r="BE462" s="7"/>
      <c r="BF462" s="1"/>
      <c r="BG462" s="1"/>
    </row>
    <row r="463" spans="56:59" ht="15.75" customHeight="1" x14ac:dyDescent="0.25">
      <c r="BD463" s="6"/>
      <c r="BE463" s="7"/>
      <c r="BF463" s="1"/>
      <c r="BG463" s="1"/>
    </row>
    <row r="464" spans="56:59" ht="15.75" customHeight="1" x14ac:dyDescent="0.25">
      <c r="BD464" s="6"/>
      <c r="BE464" s="7"/>
      <c r="BF464" s="1"/>
      <c r="BG464" s="1"/>
    </row>
    <row r="465" spans="56:59" ht="15.75" customHeight="1" x14ac:dyDescent="0.25">
      <c r="BD465" s="6"/>
      <c r="BE465" s="7"/>
      <c r="BF465" s="1"/>
      <c r="BG465" s="1"/>
    </row>
    <row r="466" spans="56:59" ht="15.75" customHeight="1" x14ac:dyDescent="0.25">
      <c r="BD466" s="6"/>
      <c r="BE466" s="7"/>
      <c r="BF466" s="1"/>
      <c r="BG466" s="1"/>
    </row>
    <row r="467" spans="56:59" ht="15.75" customHeight="1" x14ac:dyDescent="0.25">
      <c r="BD467" s="6"/>
      <c r="BE467" s="7"/>
      <c r="BF467" s="1"/>
      <c r="BG467" s="1"/>
    </row>
    <row r="468" spans="56:59" ht="15.75" customHeight="1" x14ac:dyDescent="0.25">
      <c r="BD468" s="6"/>
      <c r="BE468" s="7"/>
      <c r="BF468" s="1"/>
      <c r="BG468" s="1"/>
    </row>
    <row r="469" spans="56:59" ht="15.75" customHeight="1" x14ac:dyDescent="0.25">
      <c r="BD469" s="6"/>
      <c r="BE469" s="7"/>
      <c r="BF469" s="1"/>
      <c r="BG469" s="1"/>
    </row>
    <row r="470" spans="56:59" ht="15.75" customHeight="1" x14ac:dyDescent="0.25">
      <c r="BD470" s="6"/>
      <c r="BE470" s="7"/>
      <c r="BF470" s="1"/>
      <c r="BG470" s="1"/>
    </row>
    <row r="471" spans="56:59" ht="15.75" customHeight="1" x14ac:dyDescent="0.25">
      <c r="BD471" s="6"/>
      <c r="BE471" s="7"/>
      <c r="BF471" s="1"/>
      <c r="BG471" s="1"/>
    </row>
    <row r="472" spans="56:59" ht="15.75" customHeight="1" x14ac:dyDescent="0.25">
      <c r="BD472" s="6"/>
      <c r="BE472" s="7"/>
      <c r="BF472" s="1"/>
      <c r="BG472" s="1"/>
    </row>
    <row r="473" spans="56:59" ht="15.75" customHeight="1" x14ac:dyDescent="0.25">
      <c r="BD473" s="6"/>
      <c r="BE473" s="7"/>
      <c r="BF473" s="1"/>
      <c r="BG473" s="1"/>
    </row>
    <row r="474" spans="56:59" ht="15.75" customHeight="1" x14ac:dyDescent="0.25">
      <c r="BD474" s="6"/>
      <c r="BE474" s="7"/>
      <c r="BF474" s="1"/>
      <c r="BG474" s="1"/>
    </row>
    <row r="475" spans="56:59" ht="15.75" customHeight="1" x14ac:dyDescent="0.25">
      <c r="BD475" s="6"/>
      <c r="BE475" s="7"/>
      <c r="BF475" s="1"/>
      <c r="BG475" s="1"/>
    </row>
    <row r="476" spans="56:59" ht="15.75" customHeight="1" x14ac:dyDescent="0.25">
      <c r="BD476" s="6"/>
      <c r="BE476" s="7"/>
      <c r="BF476" s="1"/>
      <c r="BG476" s="1"/>
    </row>
    <row r="477" spans="56:59" ht="15.75" customHeight="1" x14ac:dyDescent="0.25">
      <c r="BD477" s="6"/>
      <c r="BE477" s="7"/>
      <c r="BF477" s="1"/>
      <c r="BG477" s="1"/>
    </row>
    <row r="478" spans="56:59" ht="15.75" customHeight="1" x14ac:dyDescent="0.25">
      <c r="BD478" s="6"/>
      <c r="BE478" s="7"/>
      <c r="BF478" s="1"/>
      <c r="BG478" s="1"/>
    </row>
    <row r="479" spans="56:59" ht="15.75" customHeight="1" x14ac:dyDescent="0.25">
      <c r="BD479" s="6"/>
      <c r="BE479" s="7"/>
      <c r="BF479" s="1"/>
      <c r="BG479" s="1"/>
    </row>
    <row r="480" spans="56:59" ht="15.75" customHeight="1" x14ac:dyDescent="0.25">
      <c r="BD480" s="6"/>
      <c r="BE480" s="7"/>
      <c r="BF480" s="1"/>
      <c r="BG480" s="1"/>
    </row>
    <row r="481" spans="56:59" ht="15.75" customHeight="1" x14ac:dyDescent="0.25">
      <c r="BD481" s="6"/>
      <c r="BE481" s="7"/>
      <c r="BF481" s="1"/>
      <c r="BG481" s="1"/>
    </row>
    <row r="482" spans="56:59" ht="15.75" customHeight="1" x14ac:dyDescent="0.25">
      <c r="BD482" s="6"/>
      <c r="BE482" s="7"/>
      <c r="BF482" s="1"/>
      <c r="BG482" s="1"/>
    </row>
    <row r="483" spans="56:59" ht="15.75" customHeight="1" x14ac:dyDescent="0.25">
      <c r="BD483" s="6"/>
      <c r="BE483" s="7"/>
      <c r="BF483" s="1"/>
      <c r="BG483" s="1"/>
    </row>
    <row r="484" spans="56:59" ht="15.75" customHeight="1" x14ac:dyDescent="0.25">
      <c r="BD484" s="6"/>
      <c r="BE484" s="7"/>
      <c r="BF484" s="1"/>
      <c r="BG484" s="1"/>
    </row>
    <row r="485" spans="56:59" ht="15.75" customHeight="1" x14ac:dyDescent="0.25">
      <c r="BD485" s="6"/>
      <c r="BE485" s="7"/>
      <c r="BF485" s="1"/>
      <c r="BG485" s="1"/>
    </row>
    <row r="486" spans="56:59" ht="15.75" customHeight="1" x14ac:dyDescent="0.25">
      <c r="BD486" s="6"/>
      <c r="BE486" s="7"/>
      <c r="BF486" s="1"/>
      <c r="BG486" s="1"/>
    </row>
    <row r="487" spans="56:59" ht="15.75" customHeight="1" x14ac:dyDescent="0.25">
      <c r="BD487" s="6"/>
      <c r="BE487" s="7"/>
      <c r="BF487" s="1"/>
      <c r="BG487" s="1"/>
    </row>
    <row r="488" spans="56:59" ht="15.75" customHeight="1" x14ac:dyDescent="0.25">
      <c r="BD488" s="6"/>
      <c r="BE488" s="7"/>
      <c r="BF488" s="1"/>
      <c r="BG488" s="1"/>
    </row>
    <row r="489" spans="56:59" ht="15.75" customHeight="1" x14ac:dyDescent="0.25">
      <c r="BD489" s="6"/>
      <c r="BE489" s="7"/>
      <c r="BF489" s="1"/>
      <c r="BG489" s="1"/>
    </row>
    <row r="490" spans="56:59" ht="15.75" customHeight="1" x14ac:dyDescent="0.25">
      <c r="BD490" s="6"/>
      <c r="BE490" s="7"/>
      <c r="BF490" s="1"/>
      <c r="BG490" s="1"/>
    </row>
    <row r="491" spans="56:59" ht="15.75" customHeight="1" x14ac:dyDescent="0.25">
      <c r="BD491" s="6"/>
      <c r="BE491" s="7"/>
      <c r="BF491" s="1"/>
      <c r="BG491" s="1"/>
    </row>
    <row r="492" spans="56:59" ht="15.75" customHeight="1" x14ac:dyDescent="0.25">
      <c r="BD492" s="6"/>
      <c r="BE492" s="7"/>
      <c r="BF492" s="1"/>
      <c r="BG492" s="1"/>
    </row>
    <row r="493" spans="56:59" ht="15.75" customHeight="1" x14ac:dyDescent="0.25">
      <c r="BD493" s="6"/>
      <c r="BE493" s="7"/>
      <c r="BF493" s="1"/>
      <c r="BG493" s="1"/>
    </row>
    <row r="494" spans="56:59" ht="15.75" customHeight="1" x14ac:dyDescent="0.25">
      <c r="BD494" s="6"/>
      <c r="BE494" s="7"/>
      <c r="BF494" s="1"/>
      <c r="BG494" s="1"/>
    </row>
    <row r="495" spans="56:59" ht="15.75" customHeight="1" x14ac:dyDescent="0.25">
      <c r="BD495" s="6"/>
      <c r="BE495" s="7"/>
      <c r="BF495" s="1"/>
      <c r="BG495" s="1"/>
    </row>
    <row r="496" spans="56:59" ht="15.75" customHeight="1" x14ac:dyDescent="0.25">
      <c r="BD496" s="6"/>
      <c r="BE496" s="7"/>
      <c r="BF496" s="1"/>
      <c r="BG496" s="1"/>
    </row>
    <row r="497" spans="56:59" ht="15.75" customHeight="1" x14ac:dyDescent="0.25">
      <c r="BD497" s="6"/>
      <c r="BE497" s="7"/>
      <c r="BF497" s="1"/>
      <c r="BG497" s="1"/>
    </row>
    <row r="498" spans="56:59" ht="15.75" customHeight="1" x14ac:dyDescent="0.25">
      <c r="BD498" s="6"/>
      <c r="BE498" s="7"/>
      <c r="BF498" s="1"/>
      <c r="BG498" s="1"/>
    </row>
    <row r="499" spans="56:59" ht="15.75" customHeight="1" x14ac:dyDescent="0.25">
      <c r="BD499" s="6"/>
      <c r="BE499" s="7"/>
      <c r="BF499" s="1"/>
      <c r="BG499" s="1"/>
    </row>
    <row r="500" spans="56:59" ht="15.75" customHeight="1" x14ac:dyDescent="0.25">
      <c r="BD500" s="6"/>
      <c r="BE500" s="7"/>
      <c r="BF500" s="1"/>
      <c r="BG500" s="1"/>
    </row>
    <row r="501" spans="56:59" ht="15.75" customHeight="1" x14ac:dyDescent="0.25">
      <c r="BD501" s="6"/>
      <c r="BE501" s="7"/>
      <c r="BF501" s="1"/>
      <c r="BG501" s="1"/>
    </row>
    <row r="502" spans="56:59" ht="15.75" customHeight="1" x14ac:dyDescent="0.25">
      <c r="BD502" s="6"/>
      <c r="BE502" s="7"/>
      <c r="BF502" s="1"/>
      <c r="BG502" s="1"/>
    </row>
    <row r="503" spans="56:59" ht="15.75" customHeight="1" x14ac:dyDescent="0.25">
      <c r="BD503" s="6"/>
      <c r="BE503" s="7"/>
      <c r="BF503" s="1"/>
      <c r="BG503" s="1"/>
    </row>
    <row r="504" spans="56:59" ht="15.75" customHeight="1" x14ac:dyDescent="0.25">
      <c r="BD504" s="6"/>
      <c r="BE504" s="7"/>
      <c r="BF504" s="1"/>
      <c r="BG504" s="1"/>
    </row>
    <row r="505" spans="56:59" ht="15.75" customHeight="1" x14ac:dyDescent="0.25">
      <c r="BD505" s="6"/>
      <c r="BE505" s="7"/>
      <c r="BF505" s="1"/>
      <c r="BG505" s="1"/>
    </row>
    <row r="506" spans="56:59" ht="15.75" customHeight="1" x14ac:dyDescent="0.25">
      <c r="BD506" s="6"/>
      <c r="BE506" s="7"/>
      <c r="BF506" s="1"/>
      <c r="BG506" s="1"/>
    </row>
    <row r="507" spans="56:59" ht="15.75" customHeight="1" x14ac:dyDescent="0.25">
      <c r="BD507" s="6"/>
      <c r="BE507" s="7"/>
      <c r="BF507" s="1"/>
      <c r="BG507" s="1"/>
    </row>
    <row r="508" spans="56:59" ht="15.75" customHeight="1" x14ac:dyDescent="0.25">
      <c r="BD508" s="6"/>
      <c r="BE508" s="7"/>
      <c r="BF508" s="1"/>
      <c r="BG508" s="1"/>
    </row>
    <row r="509" spans="56:59" ht="15.75" customHeight="1" x14ac:dyDescent="0.25">
      <c r="BD509" s="6"/>
      <c r="BE509" s="7"/>
      <c r="BF509" s="1"/>
      <c r="BG509" s="1"/>
    </row>
    <row r="510" spans="56:59" ht="15.75" customHeight="1" x14ac:dyDescent="0.25">
      <c r="BD510" s="6"/>
      <c r="BE510" s="7"/>
      <c r="BF510" s="1"/>
      <c r="BG510" s="1"/>
    </row>
    <row r="511" spans="56:59" ht="15.75" customHeight="1" x14ac:dyDescent="0.25">
      <c r="BD511" s="6"/>
      <c r="BE511" s="7"/>
      <c r="BF511" s="1"/>
      <c r="BG511" s="1"/>
    </row>
    <row r="512" spans="56:59" ht="15.75" customHeight="1" x14ac:dyDescent="0.25">
      <c r="BD512" s="6"/>
      <c r="BE512" s="7"/>
      <c r="BF512" s="1"/>
      <c r="BG512" s="1"/>
    </row>
    <row r="513" spans="56:59" ht="15.75" customHeight="1" x14ac:dyDescent="0.25">
      <c r="BD513" s="6"/>
      <c r="BE513" s="7"/>
      <c r="BF513" s="1"/>
      <c r="BG513" s="1"/>
    </row>
    <row r="514" spans="56:59" ht="15.75" customHeight="1" x14ac:dyDescent="0.25">
      <c r="BD514" s="6"/>
      <c r="BE514" s="7"/>
      <c r="BF514" s="1"/>
      <c r="BG514" s="1"/>
    </row>
    <row r="515" spans="56:59" ht="15.75" customHeight="1" x14ac:dyDescent="0.25">
      <c r="BD515" s="6"/>
      <c r="BE515" s="7"/>
      <c r="BF515" s="1"/>
      <c r="BG515" s="1"/>
    </row>
    <row r="516" spans="56:59" ht="15.75" customHeight="1" x14ac:dyDescent="0.25">
      <c r="BD516" s="6"/>
      <c r="BE516" s="7"/>
      <c r="BF516" s="1"/>
      <c r="BG516" s="1"/>
    </row>
    <row r="517" spans="56:59" ht="15.75" customHeight="1" x14ac:dyDescent="0.25">
      <c r="BD517" s="6"/>
      <c r="BE517" s="7"/>
      <c r="BF517" s="1"/>
      <c r="BG517" s="1"/>
    </row>
    <row r="518" spans="56:59" ht="15.75" customHeight="1" x14ac:dyDescent="0.25">
      <c r="BD518" s="6"/>
      <c r="BE518" s="7"/>
      <c r="BF518" s="1"/>
      <c r="BG518" s="1"/>
    </row>
    <row r="519" spans="56:59" ht="15.75" customHeight="1" x14ac:dyDescent="0.25">
      <c r="BD519" s="6"/>
      <c r="BE519" s="7"/>
      <c r="BF519" s="1"/>
      <c r="BG519" s="1"/>
    </row>
    <row r="520" spans="56:59" ht="15.75" customHeight="1" x14ac:dyDescent="0.25">
      <c r="BD520" s="6"/>
      <c r="BE520" s="7"/>
      <c r="BF520" s="1"/>
      <c r="BG520" s="1"/>
    </row>
    <row r="521" spans="56:59" ht="15.75" customHeight="1" x14ac:dyDescent="0.25">
      <c r="BD521" s="6"/>
      <c r="BE521" s="7"/>
      <c r="BF521" s="1"/>
      <c r="BG521" s="1"/>
    </row>
    <row r="522" spans="56:59" ht="15.75" customHeight="1" x14ac:dyDescent="0.25">
      <c r="BD522" s="6"/>
      <c r="BE522" s="7"/>
      <c r="BF522" s="1"/>
      <c r="BG522" s="1"/>
    </row>
    <row r="523" spans="56:59" ht="15.75" customHeight="1" x14ac:dyDescent="0.25">
      <c r="BD523" s="6"/>
      <c r="BE523" s="7"/>
      <c r="BF523" s="1"/>
      <c r="BG523" s="1"/>
    </row>
    <row r="524" spans="56:59" ht="15.75" customHeight="1" x14ac:dyDescent="0.25">
      <c r="BD524" s="6"/>
      <c r="BE524" s="7"/>
      <c r="BF524" s="1"/>
      <c r="BG524" s="1"/>
    </row>
    <row r="525" spans="56:59" ht="15.75" customHeight="1" x14ac:dyDescent="0.25">
      <c r="BD525" s="6"/>
      <c r="BE525" s="7"/>
      <c r="BF525" s="1"/>
      <c r="BG525" s="1"/>
    </row>
    <row r="526" spans="56:59" ht="15.75" customHeight="1" x14ac:dyDescent="0.25">
      <c r="BD526" s="6"/>
      <c r="BE526" s="7"/>
      <c r="BF526" s="1"/>
      <c r="BG526" s="1"/>
    </row>
    <row r="527" spans="56:59" ht="15.75" customHeight="1" x14ac:dyDescent="0.25">
      <c r="BD527" s="6"/>
      <c r="BE527" s="7"/>
      <c r="BF527" s="1"/>
      <c r="BG527" s="1"/>
    </row>
    <row r="528" spans="56:59" ht="15.75" customHeight="1" x14ac:dyDescent="0.25">
      <c r="BD528" s="6"/>
      <c r="BE528" s="7"/>
      <c r="BF528" s="1"/>
      <c r="BG528" s="1"/>
    </row>
    <row r="529" spans="56:59" ht="15.75" customHeight="1" x14ac:dyDescent="0.25">
      <c r="BD529" s="6"/>
      <c r="BE529" s="7"/>
      <c r="BF529" s="1"/>
      <c r="BG529" s="1"/>
    </row>
    <row r="530" spans="56:59" ht="15.75" customHeight="1" x14ac:dyDescent="0.25">
      <c r="BD530" s="6"/>
      <c r="BE530" s="7"/>
      <c r="BF530" s="1"/>
      <c r="BG530" s="1"/>
    </row>
    <row r="531" spans="56:59" ht="15.75" customHeight="1" x14ac:dyDescent="0.25">
      <c r="BD531" s="6"/>
      <c r="BE531" s="7"/>
      <c r="BF531" s="1"/>
      <c r="BG531" s="1"/>
    </row>
    <row r="532" spans="56:59" ht="15.75" customHeight="1" x14ac:dyDescent="0.25">
      <c r="BD532" s="6"/>
      <c r="BE532" s="7"/>
      <c r="BF532" s="1"/>
      <c r="BG532" s="1"/>
    </row>
    <row r="533" spans="56:59" ht="15.75" customHeight="1" x14ac:dyDescent="0.25">
      <c r="BD533" s="6"/>
      <c r="BE533" s="7"/>
      <c r="BF533" s="1"/>
      <c r="BG533" s="1"/>
    </row>
    <row r="534" spans="56:59" ht="15.75" customHeight="1" x14ac:dyDescent="0.25">
      <c r="BD534" s="6"/>
      <c r="BE534" s="7"/>
      <c r="BF534" s="1"/>
      <c r="BG534" s="1"/>
    </row>
    <row r="535" spans="56:59" ht="15.75" customHeight="1" x14ac:dyDescent="0.25">
      <c r="BD535" s="6"/>
      <c r="BE535" s="7"/>
      <c r="BF535" s="1"/>
      <c r="BG535" s="1"/>
    </row>
    <row r="536" spans="56:59" ht="15.75" customHeight="1" x14ac:dyDescent="0.25">
      <c r="BD536" s="6"/>
      <c r="BE536" s="7"/>
      <c r="BF536" s="1"/>
      <c r="BG536" s="1"/>
    </row>
    <row r="537" spans="56:59" ht="15.75" customHeight="1" x14ac:dyDescent="0.25">
      <c r="BD537" s="6"/>
      <c r="BE537" s="7"/>
      <c r="BF537" s="1"/>
      <c r="BG537" s="1"/>
    </row>
    <row r="538" spans="56:59" ht="15.75" customHeight="1" x14ac:dyDescent="0.25">
      <c r="BD538" s="6"/>
      <c r="BE538" s="7"/>
      <c r="BF538" s="1"/>
      <c r="BG538" s="1"/>
    </row>
    <row r="539" spans="56:59" ht="15.75" customHeight="1" x14ac:dyDescent="0.25">
      <c r="BD539" s="6"/>
      <c r="BE539" s="7"/>
      <c r="BF539" s="1"/>
      <c r="BG539" s="1"/>
    </row>
    <row r="540" spans="56:59" ht="15.75" customHeight="1" x14ac:dyDescent="0.25">
      <c r="BD540" s="6"/>
      <c r="BE540" s="7"/>
      <c r="BF540" s="1"/>
      <c r="BG540" s="1"/>
    </row>
    <row r="541" spans="56:59" ht="15.75" customHeight="1" x14ac:dyDescent="0.25">
      <c r="BD541" s="6"/>
      <c r="BE541" s="7"/>
      <c r="BF541" s="1"/>
      <c r="BG541" s="1"/>
    </row>
    <row r="542" spans="56:59" ht="15.75" customHeight="1" x14ac:dyDescent="0.25">
      <c r="BD542" s="6"/>
      <c r="BE542" s="7"/>
      <c r="BF542" s="1"/>
      <c r="BG542" s="1"/>
    </row>
    <row r="543" spans="56:59" ht="15.75" customHeight="1" x14ac:dyDescent="0.25">
      <c r="BD543" s="6"/>
      <c r="BE543" s="7"/>
      <c r="BF543" s="1"/>
      <c r="BG543" s="1"/>
    </row>
    <row r="544" spans="56:59" ht="15.75" customHeight="1" x14ac:dyDescent="0.25">
      <c r="BD544" s="6"/>
      <c r="BE544" s="7"/>
      <c r="BF544" s="1"/>
      <c r="BG544" s="1"/>
    </row>
    <row r="545" spans="56:59" ht="15.75" customHeight="1" x14ac:dyDescent="0.25">
      <c r="BD545" s="6"/>
      <c r="BE545" s="7"/>
      <c r="BF545" s="1"/>
      <c r="BG545" s="1"/>
    </row>
    <row r="546" spans="56:59" ht="15.75" customHeight="1" x14ac:dyDescent="0.25">
      <c r="BD546" s="6"/>
      <c r="BE546" s="7"/>
      <c r="BF546" s="1"/>
      <c r="BG546" s="1"/>
    </row>
    <row r="547" spans="56:59" ht="15.75" customHeight="1" x14ac:dyDescent="0.25">
      <c r="BD547" s="6"/>
      <c r="BE547" s="7"/>
      <c r="BF547" s="1"/>
      <c r="BG547" s="1"/>
    </row>
    <row r="548" spans="56:59" ht="15.75" customHeight="1" x14ac:dyDescent="0.25">
      <c r="BD548" s="6"/>
      <c r="BE548" s="7"/>
      <c r="BF548" s="1"/>
      <c r="BG548" s="1"/>
    </row>
    <row r="549" spans="56:59" ht="15.75" customHeight="1" x14ac:dyDescent="0.25">
      <c r="BD549" s="6"/>
      <c r="BE549" s="7"/>
      <c r="BF549" s="1"/>
      <c r="BG549" s="1"/>
    </row>
    <row r="550" spans="56:59" ht="15.75" customHeight="1" x14ac:dyDescent="0.25">
      <c r="BD550" s="6"/>
      <c r="BE550" s="7"/>
      <c r="BF550" s="1"/>
      <c r="BG550" s="1"/>
    </row>
    <row r="551" spans="56:59" ht="15.75" customHeight="1" x14ac:dyDescent="0.25">
      <c r="BD551" s="6"/>
      <c r="BE551" s="7"/>
      <c r="BF551" s="1"/>
      <c r="BG551" s="1"/>
    </row>
    <row r="552" spans="56:59" ht="15.75" customHeight="1" x14ac:dyDescent="0.25">
      <c r="BD552" s="6"/>
      <c r="BE552" s="7"/>
      <c r="BF552" s="1"/>
      <c r="BG552" s="1"/>
    </row>
    <row r="553" spans="56:59" ht="15.75" customHeight="1" x14ac:dyDescent="0.25">
      <c r="BD553" s="6"/>
      <c r="BE553" s="7"/>
      <c r="BF553" s="1"/>
      <c r="BG553" s="1"/>
    </row>
    <row r="554" spans="56:59" ht="15.75" customHeight="1" x14ac:dyDescent="0.25">
      <c r="BD554" s="6"/>
      <c r="BE554" s="7"/>
      <c r="BF554" s="1"/>
      <c r="BG554" s="1"/>
    </row>
    <row r="555" spans="56:59" ht="15.75" customHeight="1" x14ac:dyDescent="0.25">
      <c r="BD555" s="6"/>
      <c r="BE555" s="7"/>
      <c r="BF555" s="1"/>
      <c r="BG555" s="1"/>
    </row>
    <row r="556" spans="56:59" ht="15.75" customHeight="1" x14ac:dyDescent="0.25">
      <c r="BD556" s="6"/>
      <c r="BE556" s="7"/>
      <c r="BF556" s="1"/>
      <c r="BG556" s="1"/>
    </row>
    <row r="557" spans="56:59" ht="15.75" customHeight="1" x14ac:dyDescent="0.25">
      <c r="BD557" s="6"/>
      <c r="BE557" s="7"/>
      <c r="BF557" s="1"/>
      <c r="BG557" s="1"/>
    </row>
    <row r="558" spans="56:59" ht="15.75" customHeight="1" x14ac:dyDescent="0.25">
      <c r="BD558" s="6"/>
      <c r="BE558" s="7"/>
      <c r="BF558" s="1"/>
      <c r="BG558" s="1"/>
    </row>
    <row r="559" spans="56:59" ht="15.75" customHeight="1" x14ac:dyDescent="0.25">
      <c r="BD559" s="6"/>
      <c r="BE559" s="7"/>
      <c r="BF559" s="1"/>
      <c r="BG559" s="1"/>
    </row>
    <row r="560" spans="56:59" ht="15.75" customHeight="1" x14ac:dyDescent="0.25">
      <c r="BD560" s="6"/>
      <c r="BE560" s="7"/>
      <c r="BF560" s="1"/>
      <c r="BG560" s="1"/>
    </row>
    <row r="561" spans="56:59" ht="15.75" customHeight="1" x14ac:dyDescent="0.25">
      <c r="BD561" s="6"/>
      <c r="BE561" s="7"/>
      <c r="BF561" s="1"/>
      <c r="BG561" s="1"/>
    </row>
    <row r="562" spans="56:59" ht="15.75" customHeight="1" x14ac:dyDescent="0.25">
      <c r="BD562" s="6"/>
      <c r="BE562" s="7"/>
      <c r="BF562" s="1"/>
      <c r="BG562" s="1"/>
    </row>
    <row r="563" spans="56:59" ht="15.75" customHeight="1" x14ac:dyDescent="0.25">
      <c r="BD563" s="6"/>
      <c r="BE563" s="7"/>
      <c r="BF563" s="1"/>
      <c r="BG563" s="1"/>
    </row>
    <row r="564" spans="56:59" ht="15.75" customHeight="1" x14ac:dyDescent="0.25">
      <c r="BD564" s="6"/>
      <c r="BE564" s="7"/>
      <c r="BF564" s="1"/>
      <c r="BG564" s="1"/>
    </row>
    <row r="565" spans="56:59" ht="15.75" customHeight="1" x14ac:dyDescent="0.25">
      <c r="BD565" s="6"/>
      <c r="BE565" s="7"/>
      <c r="BF565" s="1"/>
      <c r="BG565" s="1"/>
    </row>
    <row r="566" spans="56:59" ht="15.75" customHeight="1" x14ac:dyDescent="0.25">
      <c r="BD566" s="6"/>
      <c r="BE566" s="7"/>
      <c r="BF566" s="1"/>
      <c r="BG566" s="1"/>
    </row>
    <row r="567" spans="56:59" ht="15.75" customHeight="1" x14ac:dyDescent="0.25">
      <c r="BD567" s="6"/>
      <c r="BE567" s="7"/>
      <c r="BF567" s="1"/>
      <c r="BG567" s="1"/>
    </row>
    <row r="568" spans="56:59" ht="15.75" customHeight="1" x14ac:dyDescent="0.25">
      <c r="BD568" s="6"/>
      <c r="BE568" s="7"/>
      <c r="BF568" s="1"/>
      <c r="BG568" s="1"/>
    </row>
    <row r="569" spans="56:59" ht="15.75" customHeight="1" x14ac:dyDescent="0.25">
      <c r="BD569" s="6"/>
      <c r="BE569" s="7"/>
      <c r="BF569" s="1"/>
      <c r="BG569" s="1"/>
    </row>
    <row r="570" spans="56:59" ht="15.75" customHeight="1" x14ac:dyDescent="0.25">
      <c r="BD570" s="6"/>
      <c r="BE570" s="7"/>
      <c r="BF570" s="1"/>
      <c r="BG570" s="1"/>
    </row>
    <row r="571" spans="56:59" ht="15.75" customHeight="1" x14ac:dyDescent="0.25">
      <c r="BD571" s="6"/>
      <c r="BE571" s="7"/>
      <c r="BF571" s="1"/>
      <c r="BG571" s="1"/>
    </row>
    <row r="572" spans="56:59" ht="15.75" customHeight="1" x14ac:dyDescent="0.25">
      <c r="BD572" s="6"/>
      <c r="BE572" s="7"/>
      <c r="BF572" s="1"/>
      <c r="BG572" s="1"/>
    </row>
    <row r="573" spans="56:59" ht="15.75" customHeight="1" x14ac:dyDescent="0.25">
      <c r="BD573" s="6"/>
      <c r="BE573" s="7"/>
      <c r="BF573" s="1"/>
      <c r="BG573" s="1"/>
    </row>
    <row r="574" spans="56:59" ht="15.75" customHeight="1" x14ac:dyDescent="0.25">
      <c r="BD574" s="6"/>
      <c r="BE574" s="7"/>
      <c r="BF574" s="1"/>
      <c r="BG574" s="1"/>
    </row>
    <row r="575" spans="56:59" ht="15.75" customHeight="1" x14ac:dyDescent="0.25">
      <c r="BD575" s="6"/>
      <c r="BE575" s="7"/>
      <c r="BF575" s="1"/>
      <c r="BG575" s="1"/>
    </row>
    <row r="576" spans="56:59" ht="15.75" customHeight="1" x14ac:dyDescent="0.25">
      <c r="BD576" s="6"/>
      <c r="BE576" s="7"/>
      <c r="BF576" s="1"/>
      <c r="BG576" s="1"/>
    </row>
    <row r="577" spans="56:59" ht="15.75" customHeight="1" x14ac:dyDescent="0.25">
      <c r="BD577" s="6"/>
      <c r="BE577" s="7"/>
      <c r="BF577" s="1"/>
      <c r="BG577" s="1"/>
    </row>
    <row r="578" spans="56:59" ht="15.75" customHeight="1" x14ac:dyDescent="0.25">
      <c r="BD578" s="6"/>
      <c r="BE578" s="7"/>
      <c r="BF578" s="1"/>
      <c r="BG578" s="1"/>
    </row>
    <row r="579" spans="56:59" ht="15.75" customHeight="1" x14ac:dyDescent="0.25">
      <c r="BD579" s="6"/>
      <c r="BE579" s="7"/>
      <c r="BF579" s="1"/>
      <c r="BG579" s="1"/>
    </row>
    <row r="580" spans="56:59" ht="15.75" customHeight="1" x14ac:dyDescent="0.25">
      <c r="BD580" s="6"/>
      <c r="BE580" s="7"/>
      <c r="BF580" s="1"/>
      <c r="BG580" s="1"/>
    </row>
    <row r="581" spans="56:59" ht="15.75" customHeight="1" x14ac:dyDescent="0.25">
      <c r="BD581" s="6"/>
      <c r="BE581" s="7"/>
      <c r="BF581" s="1"/>
      <c r="BG581" s="1"/>
    </row>
    <row r="582" spans="56:59" ht="15.75" customHeight="1" x14ac:dyDescent="0.25">
      <c r="BD582" s="6"/>
      <c r="BE582" s="7"/>
      <c r="BF582" s="1"/>
      <c r="BG582" s="1"/>
    </row>
    <row r="583" spans="56:59" ht="15.75" customHeight="1" x14ac:dyDescent="0.25">
      <c r="BD583" s="6"/>
      <c r="BE583" s="7"/>
      <c r="BF583" s="1"/>
      <c r="BG583" s="1"/>
    </row>
    <row r="584" spans="56:59" ht="15.75" customHeight="1" x14ac:dyDescent="0.25">
      <c r="BD584" s="6"/>
      <c r="BE584" s="7"/>
      <c r="BF584" s="1"/>
      <c r="BG584" s="1"/>
    </row>
    <row r="585" spans="56:59" ht="15.75" customHeight="1" x14ac:dyDescent="0.25">
      <c r="BD585" s="6"/>
      <c r="BE585" s="7"/>
      <c r="BF585" s="1"/>
      <c r="BG585" s="1"/>
    </row>
    <row r="586" spans="56:59" ht="15.75" customHeight="1" x14ac:dyDescent="0.25">
      <c r="BD586" s="6"/>
      <c r="BE586" s="7"/>
      <c r="BF586" s="1"/>
      <c r="BG586" s="1"/>
    </row>
    <row r="587" spans="56:59" ht="15.75" customHeight="1" x14ac:dyDescent="0.25">
      <c r="BD587" s="6"/>
      <c r="BE587" s="7"/>
      <c r="BF587" s="1"/>
      <c r="BG587" s="1"/>
    </row>
    <row r="588" spans="56:59" ht="15.75" customHeight="1" x14ac:dyDescent="0.25">
      <c r="BD588" s="6"/>
      <c r="BE588" s="7"/>
      <c r="BF588" s="1"/>
      <c r="BG588" s="1"/>
    </row>
    <row r="589" spans="56:59" ht="15.75" customHeight="1" x14ac:dyDescent="0.25">
      <c r="BD589" s="6"/>
      <c r="BE589" s="7"/>
      <c r="BF589" s="1"/>
      <c r="BG589" s="1"/>
    </row>
    <row r="590" spans="56:59" ht="15.75" customHeight="1" x14ac:dyDescent="0.25">
      <c r="BD590" s="6"/>
      <c r="BE590" s="7"/>
      <c r="BF590" s="1"/>
      <c r="BG590" s="1"/>
    </row>
    <row r="591" spans="56:59" ht="15.75" customHeight="1" x14ac:dyDescent="0.25">
      <c r="BD591" s="6"/>
      <c r="BE591" s="7"/>
      <c r="BF591" s="1"/>
      <c r="BG591" s="1"/>
    </row>
    <row r="592" spans="56:59" ht="15.75" customHeight="1" x14ac:dyDescent="0.25">
      <c r="BD592" s="6"/>
      <c r="BE592" s="7"/>
      <c r="BF592" s="1"/>
      <c r="BG592" s="1"/>
    </row>
    <row r="593" spans="56:59" ht="15.75" customHeight="1" x14ac:dyDescent="0.25">
      <c r="BD593" s="6"/>
      <c r="BE593" s="7"/>
      <c r="BF593" s="1"/>
      <c r="BG593" s="1"/>
    </row>
    <row r="594" spans="56:59" ht="15.75" customHeight="1" x14ac:dyDescent="0.25">
      <c r="BD594" s="6"/>
      <c r="BE594" s="7"/>
      <c r="BF594" s="1"/>
      <c r="BG594" s="1"/>
    </row>
    <row r="595" spans="56:59" ht="15.75" customHeight="1" x14ac:dyDescent="0.25">
      <c r="BD595" s="6"/>
      <c r="BE595" s="7"/>
      <c r="BF595" s="1"/>
      <c r="BG595" s="1"/>
    </row>
    <row r="596" spans="56:59" ht="15.75" customHeight="1" x14ac:dyDescent="0.25">
      <c r="BD596" s="6"/>
      <c r="BE596" s="7"/>
      <c r="BF596" s="1"/>
      <c r="BG596" s="1"/>
    </row>
    <row r="597" spans="56:59" ht="15.75" customHeight="1" x14ac:dyDescent="0.25">
      <c r="BD597" s="6"/>
      <c r="BE597" s="7"/>
      <c r="BF597" s="1"/>
      <c r="BG597" s="1"/>
    </row>
    <row r="598" spans="56:59" ht="15.75" customHeight="1" x14ac:dyDescent="0.25">
      <c r="BD598" s="6"/>
      <c r="BE598" s="7"/>
      <c r="BF598" s="1"/>
      <c r="BG598" s="1"/>
    </row>
    <row r="599" spans="56:59" ht="15.75" customHeight="1" x14ac:dyDescent="0.25">
      <c r="BD599" s="6"/>
      <c r="BE599" s="7"/>
      <c r="BF599" s="1"/>
      <c r="BG599" s="1"/>
    </row>
    <row r="600" spans="56:59" ht="15.75" customHeight="1" x14ac:dyDescent="0.25">
      <c r="BD600" s="6"/>
      <c r="BE600" s="7"/>
      <c r="BF600" s="1"/>
      <c r="BG600" s="1"/>
    </row>
    <row r="601" spans="56:59" ht="15.75" customHeight="1" x14ac:dyDescent="0.25">
      <c r="BD601" s="6"/>
      <c r="BE601" s="7"/>
      <c r="BF601" s="1"/>
      <c r="BG601" s="1"/>
    </row>
    <row r="602" spans="56:59" ht="15.75" customHeight="1" x14ac:dyDescent="0.25">
      <c r="BD602" s="6"/>
      <c r="BE602" s="7"/>
      <c r="BF602" s="1"/>
      <c r="BG602" s="1"/>
    </row>
    <row r="603" spans="56:59" ht="15.75" customHeight="1" x14ac:dyDescent="0.25">
      <c r="BD603" s="6"/>
      <c r="BE603" s="7"/>
      <c r="BF603" s="1"/>
      <c r="BG603" s="1"/>
    </row>
    <row r="604" spans="56:59" ht="15.75" customHeight="1" x14ac:dyDescent="0.25">
      <c r="BD604" s="6"/>
      <c r="BE604" s="7"/>
      <c r="BF604" s="1"/>
      <c r="BG604" s="1"/>
    </row>
    <row r="605" spans="56:59" ht="15.75" customHeight="1" x14ac:dyDescent="0.25">
      <c r="BD605" s="6"/>
      <c r="BE605" s="7"/>
      <c r="BF605" s="1"/>
      <c r="BG605" s="1"/>
    </row>
    <row r="606" spans="56:59" ht="15.75" customHeight="1" x14ac:dyDescent="0.25">
      <c r="BD606" s="6"/>
      <c r="BE606" s="7"/>
      <c r="BF606" s="1"/>
      <c r="BG606" s="1"/>
    </row>
    <row r="607" spans="56:59" ht="15.75" customHeight="1" x14ac:dyDescent="0.25">
      <c r="BD607" s="6"/>
      <c r="BE607" s="7"/>
      <c r="BF607" s="1"/>
      <c r="BG607" s="1"/>
    </row>
    <row r="608" spans="56:59" ht="15.75" customHeight="1" x14ac:dyDescent="0.25">
      <c r="BD608" s="6"/>
      <c r="BE608" s="7"/>
      <c r="BF608" s="1"/>
      <c r="BG608" s="1"/>
    </row>
    <row r="609" spans="56:59" ht="15.75" customHeight="1" x14ac:dyDescent="0.25">
      <c r="BD609" s="6"/>
      <c r="BE609" s="7"/>
      <c r="BF609" s="1"/>
      <c r="BG609" s="1"/>
    </row>
    <row r="610" spans="56:59" ht="15.75" customHeight="1" x14ac:dyDescent="0.25">
      <c r="BD610" s="6"/>
      <c r="BE610" s="7"/>
      <c r="BF610" s="1"/>
      <c r="BG610" s="1"/>
    </row>
    <row r="611" spans="56:59" ht="15.75" customHeight="1" x14ac:dyDescent="0.25">
      <c r="BD611" s="6"/>
      <c r="BE611" s="7"/>
      <c r="BF611" s="1"/>
      <c r="BG611" s="1"/>
    </row>
    <row r="612" spans="56:59" ht="15.75" customHeight="1" x14ac:dyDescent="0.25">
      <c r="BD612" s="6"/>
      <c r="BE612" s="7"/>
      <c r="BF612" s="1"/>
      <c r="BG612" s="1"/>
    </row>
    <row r="613" spans="56:59" ht="15.75" customHeight="1" x14ac:dyDescent="0.25">
      <c r="BD613" s="6"/>
      <c r="BE613" s="7"/>
      <c r="BF613" s="1"/>
      <c r="BG613" s="1"/>
    </row>
    <row r="614" spans="56:59" ht="15.75" customHeight="1" x14ac:dyDescent="0.25">
      <c r="BD614" s="6"/>
      <c r="BE614" s="7"/>
      <c r="BF614" s="1"/>
      <c r="BG614" s="1"/>
    </row>
    <row r="615" spans="56:59" ht="15.75" customHeight="1" x14ac:dyDescent="0.25">
      <c r="BD615" s="6"/>
      <c r="BE615" s="7"/>
      <c r="BF615" s="1"/>
      <c r="BG615" s="1"/>
    </row>
    <row r="616" spans="56:59" ht="15.75" customHeight="1" x14ac:dyDescent="0.25">
      <c r="BD616" s="6"/>
      <c r="BE616" s="7"/>
      <c r="BF616" s="1"/>
      <c r="BG616" s="1"/>
    </row>
    <row r="617" spans="56:59" ht="15.75" customHeight="1" x14ac:dyDescent="0.25">
      <c r="BD617" s="6"/>
      <c r="BE617" s="7"/>
      <c r="BF617" s="1"/>
      <c r="BG617" s="1"/>
    </row>
    <row r="618" spans="56:59" ht="15.75" customHeight="1" x14ac:dyDescent="0.25">
      <c r="BD618" s="6"/>
      <c r="BE618" s="7"/>
      <c r="BF618" s="1"/>
      <c r="BG618" s="1"/>
    </row>
    <row r="619" spans="56:59" ht="15.75" customHeight="1" x14ac:dyDescent="0.25">
      <c r="BD619" s="6"/>
      <c r="BE619" s="7"/>
      <c r="BF619" s="1"/>
      <c r="BG619" s="1"/>
    </row>
    <row r="620" spans="56:59" ht="15.75" customHeight="1" x14ac:dyDescent="0.25">
      <c r="BD620" s="6"/>
      <c r="BE620" s="7"/>
      <c r="BF620" s="1"/>
      <c r="BG620" s="1"/>
    </row>
    <row r="621" spans="56:59" ht="15.75" customHeight="1" x14ac:dyDescent="0.25">
      <c r="BD621" s="6"/>
      <c r="BE621" s="7"/>
      <c r="BF621" s="1"/>
      <c r="BG621" s="1"/>
    </row>
    <row r="622" spans="56:59" ht="15.75" customHeight="1" x14ac:dyDescent="0.25">
      <c r="BD622" s="6"/>
      <c r="BE622" s="7"/>
      <c r="BF622" s="1"/>
      <c r="BG622" s="1"/>
    </row>
    <row r="623" spans="56:59" ht="15.75" customHeight="1" x14ac:dyDescent="0.25">
      <c r="BD623" s="6"/>
      <c r="BE623" s="7"/>
      <c r="BF623" s="1"/>
      <c r="BG623" s="1"/>
    </row>
    <row r="624" spans="56:59" ht="15.75" customHeight="1" x14ac:dyDescent="0.25">
      <c r="BD624" s="6"/>
      <c r="BE624" s="7"/>
      <c r="BF624" s="1"/>
      <c r="BG624" s="1"/>
    </row>
    <row r="625" spans="56:59" ht="15.75" customHeight="1" x14ac:dyDescent="0.25">
      <c r="BD625" s="6"/>
      <c r="BE625" s="7"/>
      <c r="BF625" s="1"/>
      <c r="BG625" s="1"/>
    </row>
    <row r="626" spans="56:59" ht="15.75" customHeight="1" x14ac:dyDescent="0.25">
      <c r="BD626" s="6"/>
      <c r="BE626" s="7"/>
      <c r="BF626" s="1"/>
      <c r="BG626" s="1"/>
    </row>
    <row r="627" spans="56:59" ht="15.75" customHeight="1" x14ac:dyDescent="0.25">
      <c r="BD627" s="6"/>
      <c r="BE627" s="7"/>
      <c r="BF627" s="1"/>
      <c r="BG627" s="1"/>
    </row>
    <row r="628" spans="56:59" ht="15.75" customHeight="1" x14ac:dyDescent="0.25">
      <c r="BD628" s="6"/>
      <c r="BE628" s="7"/>
      <c r="BF628" s="1"/>
      <c r="BG628" s="1"/>
    </row>
    <row r="629" spans="56:59" ht="15.75" customHeight="1" x14ac:dyDescent="0.25">
      <c r="BD629" s="6"/>
      <c r="BE629" s="7"/>
      <c r="BF629" s="1"/>
      <c r="BG629" s="1"/>
    </row>
    <row r="630" spans="56:59" ht="15.75" customHeight="1" x14ac:dyDescent="0.25">
      <c r="BD630" s="6"/>
      <c r="BE630" s="7"/>
      <c r="BF630" s="1"/>
      <c r="BG630" s="1"/>
    </row>
    <row r="631" spans="56:59" ht="15.75" customHeight="1" x14ac:dyDescent="0.25">
      <c r="BD631" s="6"/>
      <c r="BE631" s="7"/>
      <c r="BF631" s="1"/>
      <c r="BG631" s="1"/>
    </row>
    <row r="632" spans="56:59" ht="15.75" customHeight="1" x14ac:dyDescent="0.25">
      <c r="BD632" s="6"/>
      <c r="BE632" s="7"/>
      <c r="BF632" s="1"/>
      <c r="BG632" s="1"/>
    </row>
    <row r="633" spans="56:59" ht="15.75" customHeight="1" x14ac:dyDescent="0.25">
      <c r="BD633" s="6"/>
      <c r="BE633" s="7"/>
      <c r="BF633" s="1"/>
      <c r="BG633" s="1"/>
    </row>
    <row r="634" spans="56:59" ht="15.75" customHeight="1" x14ac:dyDescent="0.25">
      <c r="BD634" s="6"/>
      <c r="BE634" s="7"/>
      <c r="BF634" s="1"/>
      <c r="BG634" s="1"/>
    </row>
    <row r="635" spans="56:59" ht="15.75" customHeight="1" x14ac:dyDescent="0.25">
      <c r="BD635" s="6"/>
      <c r="BE635" s="7"/>
      <c r="BF635" s="1"/>
      <c r="BG635" s="1"/>
    </row>
    <row r="636" spans="56:59" ht="15.75" customHeight="1" x14ac:dyDescent="0.25">
      <c r="BD636" s="6"/>
      <c r="BE636" s="7"/>
      <c r="BF636" s="1"/>
      <c r="BG636" s="1"/>
    </row>
    <row r="637" spans="56:59" ht="15.75" customHeight="1" x14ac:dyDescent="0.25">
      <c r="BD637" s="6"/>
      <c r="BE637" s="7"/>
      <c r="BF637" s="1"/>
      <c r="BG637" s="1"/>
    </row>
    <row r="638" spans="56:59" ht="15.75" customHeight="1" x14ac:dyDescent="0.25">
      <c r="BD638" s="6"/>
      <c r="BE638" s="7"/>
      <c r="BF638" s="1"/>
      <c r="BG638" s="1"/>
    </row>
    <row r="639" spans="56:59" ht="15.75" customHeight="1" x14ac:dyDescent="0.25">
      <c r="BD639" s="6"/>
      <c r="BE639" s="7"/>
      <c r="BF639" s="1"/>
      <c r="BG639" s="1"/>
    </row>
    <row r="640" spans="56:59" ht="15.75" customHeight="1" x14ac:dyDescent="0.25">
      <c r="BD640" s="6"/>
      <c r="BE640" s="7"/>
      <c r="BF640" s="1"/>
      <c r="BG640" s="1"/>
    </row>
    <row r="641" spans="56:59" ht="15.75" customHeight="1" x14ac:dyDescent="0.25">
      <c r="BD641" s="6"/>
      <c r="BE641" s="7"/>
      <c r="BF641" s="1"/>
      <c r="BG641" s="1"/>
    </row>
    <row r="642" spans="56:59" ht="15.75" customHeight="1" x14ac:dyDescent="0.25">
      <c r="BD642" s="6"/>
      <c r="BE642" s="7"/>
      <c r="BF642" s="1"/>
      <c r="BG642" s="1"/>
    </row>
    <row r="643" spans="56:59" ht="15.75" customHeight="1" x14ac:dyDescent="0.25">
      <c r="BD643" s="6"/>
      <c r="BE643" s="7"/>
      <c r="BF643" s="1"/>
      <c r="BG643" s="1"/>
    </row>
    <row r="644" spans="56:59" ht="15.75" customHeight="1" x14ac:dyDescent="0.25">
      <c r="BD644" s="6"/>
      <c r="BE644" s="7"/>
      <c r="BF644" s="1"/>
      <c r="BG644" s="1"/>
    </row>
    <row r="645" spans="56:59" ht="15.75" customHeight="1" x14ac:dyDescent="0.25">
      <c r="BD645" s="6"/>
      <c r="BE645" s="7"/>
      <c r="BF645" s="1"/>
      <c r="BG645" s="1"/>
    </row>
    <row r="646" spans="56:59" ht="15.75" customHeight="1" x14ac:dyDescent="0.25">
      <c r="BD646" s="6"/>
      <c r="BE646" s="7"/>
      <c r="BF646" s="1"/>
      <c r="BG646" s="1"/>
    </row>
    <row r="647" spans="56:59" ht="15.75" customHeight="1" x14ac:dyDescent="0.25">
      <c r="BD647" s="6"/>
      <c r="BE647" s="7"/>
      <c r="BF647" s="1"/>
      <c r="BG647" s="1"/>
    </row>
    <row r="648" spans="56:59" ht="15.75" customHeight="1" x14ac:dyDescent="0.25">
      <c r="BD648" s="6"/>
      <c r="BE648" s="7"/>
      <c r="BF648" s="1"/>
      <c r="BG648" s="1"/>
    </row>
    <row r="649" spans="56:59" ht="15.75" customHeight="1" x14ac:dyDescent="0.25">
      <c r="BD649" s="6"/>
      <c r="BE649" s="7"/>
      <c r="BF649" s="1"/>
      <c r="BG649" s="1"/>
    </row>
    <row r="650" spans="56:59" ht="15.75" customHeight="1" x14ac:dyDescent="0.25">
      <c r="BD650" s="6"/>
      <c r="BE650" s="7"/>
      <c r="BF650" s="1"/>
      <c r="BG650" s="1"/>
    </row>
    <row r="651" spans="56:59" ht="15.75" customHeight="1" x14ac:dyDescent="0.25">
      <c r="BD651" s="6"/>
      <c r="BE651" s="7"/>
      <c r="BF651" s="1"/>
      <c r="BG651" s="1"/>
    </row>
    <row r="652" spans="56:59" ht="15.75" customHeight="1" x14ac:dyDescent="0.25">
      <c r="BD652" s="6"/>
      <c r="BE652" s="7"/>
      <c r="BF652" s="1"/>
      <c r="BG652" s="1"/>
    </row>
    <row r="653" spans="56:59" ht="15.75" customHeight="1" x14ac:dyDescent="0.25">
      <c r="BD653" s="6"/>
      <c r="BE653" s="7"/>
      <c r="BF653" s="1"/>
      <c r="BG653" s="1"/>
    </row>
    <row r="654" spans="56:59" ht="15.75" customHeight="1" x14ac:dyDescent="0.25">
      <c r="BD654" s="6"/>
      <c r="BE654" s="7"/>
      <c r="BF654" s="1"/>
      <c r="BG654" s="1"/>
    </row>
    <row r="655" spans="56:59" ht="15.75" customHeight="1" x14ac:dyDescent="0.25">
      <c r="BD655" s="6"/>
      <c r="BE655" s="7"/>
      <c r="BF655" s="1"/>
      <c r="BG655" s="1"/>
    </row>
    <row r="656" spans="56:59" ht="15.75" customHeight="1" x14ac:dyDescent="0.25">
      <c r="BD656" s="6"/>
      <c r="BE656" s="7"/>
      <c r="BF656" s="1"/>
      <c r="BG656" s="1"/>
    </row>
    <row r="657" spans="56:59" ht="15.75" customHeight="1" x14ac:dyDescent="0.25">
      <c r="BD657" s="6"/>
      <c r="BE657" s="7"/>
      <c r="BF657" s="1"/>
      <c r="BG657" s="1"/>
    </row>
    <row r="658" spans="56:59" ht="15.75" customHeight="1" x14ac:dyDescent="0.25">
      <c r="BD658" s="6"/>
      <c r="BE658" s="7"/>
      <c r="BF658" s="1"/>
      <c r="BG658" s="1"/>
    </row>
    <row r="659" spans="56:59" ht="15.75" customHeight="1" x14ac:dyDescent="0.25">
      <c r="BD659" s="6"/>
      <c r="BE659" s="7"/>
      <c r="BF659" s="1"/>
      <c r="BG659" s="1"/>
    </row>
    <row r="660" spans="56:59" ht="15.75" customHeight="1" x14ac:dyDescent="0.25">
      <c r="BD660" s="6"/>
      <c r="BE660" s="7"/>
      <c r="BF660" s="1"/>
      <c r="BG660" s="1"/>
    </row>
    <row r="661" spans="56:59" ht="15.75" customHeight="1" x14ac:dyDescent="0.25">
      <c r="BD661" s="6"/>
      <c r="BE661" s="7"/>
      <c r="BF661" s="1"/>
      <c r="BG661" s="1"/>
    </row>
    <row r="662" spans="56:59" ht="15.75" customHeight="1" x14ac:dyDescent="0.25">
      <c r="BD662" s="6"/>
      <c r="BE662" s="7"/>
      <c r="BF662" s="1"/>
      <c r="BG662" s="1"/>
    </row>
    <row r="663" spans="56:59" ht="15.75" customHeight="1" x14ac:dyDescent="0.25">
      <c r="BD663" s="6"/>
      <c r="BE663" s="7"/>
      <c r="BF663" s="1"/>
      <c r="BG663" s="1"/>
    </row>
    <row r="664" spans="56:59" ht="15.75" customHeight="1" x14ac:dyDescent="0.25">
      <c r="BD664" s="6"/>
      <c r="BE664" s="7"/>
      <c r="BF664" s="1"/>
      <c r="BG664" s="1"/>
    </row>
    <row r="665" spans="56:59" ht="15.75" customHeight="1" x14ac:dyDescent="0.25">
      <c r="BD665" s="6"/>
      <c r="BE665" s="7"/>
      <c r="BF665" s="1"/>
      <c r="BG665" s="1"/>
    </row>
    <row r="666" spans="56:59" ht="15.75" customHeight="1" x14ac:dyDescent="0.25">
      <c r="BD666" s="6"/>
      <c r="BE666" s="7"/>
      <c r="BF666" s="1"/>
      <c r="BG666" s="1"/>
    </row>
    <row r="667" spans="56:59" ht="15.75" customHeight="1" x14ac:dyDescent="0.25">
      <c r="BD667" s="6"/>
      <c r="BE667" s="7"/>
      <c r="BF667" s="1"/>
      <c r="BG667" s="1"/>
    </row>
    <row r="668" spans="56:59" ht="15.75" customHeight="1" x14ac:dyDescent="0.25">
      <c r="BD668" s="6"/>
      <c r="BE668" s="7"/>
      <c r="BF668" s="1"/>
      <c r="BG668" s="1"/>
    </row>
    <row r="669" spans="56:59" ht="15.75" customHeight="1" x14ac:dyDescent="0.25">
      <c r="BD669" s="6"/>
      <c r="BE669" s="7"/>
      <c r="BF669" s="1"/>
      <c r="BG669" s="1"/>
    </row>
    <row r="670" spans="56:59" ht="15.75" customHeight="1" x14ac:dyDescent="0.25">
      <c r="BD670" s="6"/>
      <c r="BE670" s="7"/>
      <c r="BF670" s="1"/>
      <c r="BG670" s="1"/>
    </row>
    <row r="671" spans="56:59" ht="15.75" customHeight="1" x14ac:dyDescent="0.25">
      <c r="BD671" s="6"/>
      <c r="BE671" s="7"/>
      <c r="BF671" s="1"/>
      <c r="BG671" s="1"/>
    </row>
    <row r="672" spans="56:59" ht="15.75" customHeight="1" x14ac:dyDescent="0.25">
      <c r="BD672" s="6"/>
      <c r="BE672" s="7"/>
      <c r="BF672" s="1"/>
      <c r="BG672" s="1"/>
    </row>
    <row r="673" spans="56:59" ht="15.75" customHeight="1" x14ac:dyDescent="0.25">
      <c r="BD673" s="6"/>
      <c r="BE673" s="7"/>
      <c r="BF673" s="1"/>
      <c r="BG673" s="1"/>
    </row>
    <row r="674" spans="56:59" ht="15.75" customHeight="1" x14ac:dyDescent="0.25">
      <c r="BD674" s="6"/>
      <c r="BE674" s="7"/>
      <c r="BF674" s="1"/>
      <c r="BG674" s="1"/>
    </row>
    <row r="675" spans="56:59" ht="15.75" customHeight="1" x14ac:dyDescent="0.25">
      <c r="BD675" s="6"/>
      <c r="BE675" s="7"/>
      <c r="BF675" s="1"/>
      <c r="BG675" s="1"/>
    </row>
    <row r="676" spans="56:59" ht="15.75" customHeight="1" x14ac:dyDescent="0.25">
      <c r="BD676" s="6"/>
      <c r="BE676" s="7"/>
      <c r="BF676" s="1"/>
      <c r="BG676" s="1"/>
    </row>
    <row r="677" spans="56:59" ht="15.75" customHeight="1" x14ac:dyDescent="0.25">
      <c r="BD677" s="6"/>
      <c r="BE677" s="7"/>
      <c r="BF677" s="1"/>
      <c r="BG677" s="1"/>
    </row>
    <row r="678" spans="56:59" ht="15.75" customHeight="1" x14ac:dyDescent="0.25">
      <c r="BD678" s="6"/>
      <c r="BE678" s="7"/>
      <c r="BF678" s="1"/>
      <c r="BG678" s="1"/>
    </row>
    <row r="679" spans="56:59" ht="15.75" customHeight="1" x14ac:dyDescent="0.25">
      <c r="BD679" s="6"/>
      <c r="BE679" s="7"/>
      <c r="BF679" s="1"/>
      <c r="BG679" s="1"/>
    </row>
    <row r="680" spans="56:59" ht="15.75" customHeight="1" x14ac:dyDescent="0.25">
      <c r="BD680" s="6"/>
      <c r="BE680" s="7"/>
      <c r="BF680" s="1"/>
      <c r="BG680" s="1"/>
    </row>
    <row r="681" spans="56:59" ht="15.75" customHeight="1" x14ac:dyDescent="0.25">
      <c r="BD681" s="6"/>
      <c r="BE681" s="7"/>
      <c r="BF681" s="1"/>
      <c r="BG681" s="1"/>
    </row>
    <row r="682" spans="56:59" ht="15.75" customHeight="1" x14ac:dyDescent="0.25">
      <c r="BD682" s="6"/>
      <c r="BE682" s="7"/>
      <c r="BF682" s="1"/>
      <c r="BG682" s="1"/>
    </row>
    <row r="683" spans="56:59" ht="15.75" customHeight="1" x14ac:dyDescent="0.25">
      <c r="BD683" s="6"/>
      <c r="BE683" s="7"/>
      <c r="BF683" s="1"/>
      <c r="BG683" s="1"/>
    </row>
    <row r="684" spans="56:59" ht="15.75" customHeight="1" x14ac:dyDescent="0.25">
      <c r="BD684" s="6"/>
      <c r="BE684" s="7"/>
      <c r="BF684" s="1"/>
      <c r="BG684" s="1"/>
    </row>
    <row r="685" spans="56:59" ht="15.75" customHeight="1" x14ac:dyDescent="0.25">
      <c r="BD685" s="6"/>
      <c r="BE685" s="7"/>
      <c r="BF685" s="1"/>
      <c r="BG685" s="1"/>
    </row>
    <row r="686" spans="56:59" ht="15.75" customHeight="1" x14ac:dyDescent="0.25">
      <c r="BD686" s="6"/>
      <c r="BE686" s="7"/>
      <c r="BF686" s="1"/>
      <c r="BG686" s="1"/>
    </row>
    <row r="687" spans="56:59" ht="15.75" customHeight="1" x14ac:dyDescent="0.25">
      <c r="BD687" s="6"/>
      <c r="BE687" s="7"/>
      <c r="BF687" s="1"/>
      <c r="BG687" s="1"/>
    </row>
    <row r="688" spans="56:59" ht="15.75" customHeight="1" x14ac:dyDescent="0.25">
      <c r="BD688" s="6"/>
      <c r="BE688" s="7"/>
      <c r="BF688" s="1"/>
      <c r="BG688" s="1"/>
    </row>
    <row r="689" spans="56:59" ht="15.75" customHeight="1" x14ac:dyDescent="0.25">
      <c r="BD689" s="6"/>
      <c r="BE689" s="7"/>
      <c r="BF689" s="1"/>
      <c r="BG689" s="1"/>
    </row>
    <row r="690" spans="56:59" ht="15.75" customHeight="1" x14ac:dyDescent="0.25">
      <c r="BD690" s="6"/>
      <c r="BE690" s="7"/>
      <c r="BF690" s="1"/>
      <c r="BG690" s="1"/>
    </row>
    <row r="691" spans="56:59" ht="15.75" customHeight="1" x14ac:dyDescent="0.25">
      <c r="BD691" s="6"/>
      <c r="BE691" s="7"/>
      <c r="BF691" s="1"/>
      <c r="BG691" s="1"/>
    </row>
    <row r="692" spans="56:59" ht="15.75" customHeight="1" x14ac:dyDescent="0.25">
      <c r="BD692" s="6"/>
      <c r="BE692" s="7"/>
      <c r="BF692" s="1"/>
      <c r="BG692" s="1"/>
    </row>
    <row r="693" spans="56:59" ht="15.75" customHeight="1" x14ac:dyDescent="0.25">
      <c r="BD693" s="6"/>
      <c r="BE693" s="7"/>
      <c r="BF693" s="1"/>
      <c r="BG693" s="1"/>
    </row>
    <row r="694" spans="56:59" ht="15.75" customHeight="1" x14ac:dyDescent="0.25">
      <c r="BD694" s="6"/>
      <c r="BE694" s="7"/>
      <c r="BF694" s="1"/>
      <c r="BG694" s="1"/>
    </row>
    <row r="695" spans="56:59" ht="15.75" customHeight="1" x14ac:dyDescent="0.25">
      <c r="BD695" s="6"/>
      <c r="BE695" s="7"/>
      <c r="BF695" s="1"/>
      <c r="BG695" s="1"/>
    </row>
    <row r="696" spans="56:59" ht="15.75" customHeight="1" x14ac:dyDescent="0.25">
      <c r="BD696" s="6"/>
      <c r="BE696" s="7"/>
      <c r="BF696" s="1"/>
      <c r="BG696" s="1"/>
    </row>
    <row r="697" spans="56:59" ht="15.75" customHeight="1" x14ac:dyDescent="0.25">
      <c r="BD697" s="6"/>
      <c r="BE697" s="7"/>
      <c r="BF697" s="1"/>
      <c r="BG697" s="1"/>
    </row>
    <row r="698" spans="56:59" ht="15.75" customHeight="1" x14ac:dyDescent="0.25">
      <c r="BD698" s="6"/>
      <c r="BE698" s="7"/>
      <c r="BF698" s="1"/>
      <c r="BG698" s="1"/>
    </row>
    <row r="699" spans="56:59" ht="15.75" customHeight="1" x14ac:dyDescent="0.25">
      <c r="BD699" s="6"/>
      <c r="BE699" s="7"/>
      <c r="BF699" s="1"/>
      <c r="BG699" s="1"/>
    </row>
    <row r="700" spans="56:59" ht="15.75" customHeight="1" x14ac:dyDescent="0.25">
      <c r="BD700" s="6"/>
      <c r="BE700" s="7"/>
      <c r="BF700" s="1"/>
      <c r="BG700" s="1"/>
    </row>
    <row r="701" spans="56:59" ht="15.75" customHeight="1" x14ac:dyDescent="0.25">
      <c r="BD701" s="6"/>
      <c r="BE701" s="7"/>
      <c r="BF701" s="1"/>
      <c r="BG701" s="1"/>
    </row>
    <row r="702" spans="56:59" ht="15.75" customHeight="1" x14ac:dyDescent="0.25">
      <c r="BD702" s="6"/>
      <c r="BE702" s="7"/>
      <c r="BF702" s="1"/>
      <c r="BG702" s="1"/>
    </row>
    <row r="703" spans="56:59" ht="15.75" customHeight="1" x14ac:dyDescent="0.25">
      <c r="BD703" s="6"/>
      <c r="BE703" s="7"/>
      <c r="BF703" s="1"/>
      <c r="BG703" s="1"/>
    </row>
    <row r="704" spans="56:59" ht="15.75" customHeight="1" x14ac:dyDescent="0.25">
      <c r="BD704" s="6"/>
      <c r="BE704" s="7"/>
      <c r="BF704" s="1"/>
      <c r="BG704" s="1"/>
    </row>
    <row r="705" spans="56:59" ht="15.75" customHeight="1" x14ac:dyDescent="0.25">
      <c r="BD705" s="6"/>
      <c r="BE705" s="7"/>
      <c r="BF705" s="1"/>
      <c r="BG705" s="1"/>
    </row>
    <row r="706" spans="56:59" ht="15.75" customHeight="1" x14ac:dyDescent="0.25">
      <c r="BD706" s="6"/>
      <c r="BE706" s="7"/>
      <c r="BF706" s="1"/>
      <c r="BG706" s="1"/>
    </row>
    <row r="707" spans="56:59" ht="15.75" customHeight="1" x14ac:dyDescent="0.25">
      <c r="BD707" s="6"/>
      <c r="BE707" s="7"/>
      <c r="BF707" s="1"/>
      <c r="BG707" s="1"/>
    </row>
    <row r="708" spans="56:59" ht="15.75" customHeight="1" x14ac:dyDescent="0.25">
      <c r="BD708" s="6"/>
      <c r="BE708" s="7"/>
      <c r="BF708" s="1"/>
      <c r="BG708" s="1"/>
    </row>
    <row r="709" spans="56:59" ht="15.75" customHeight="1" x14ac:dyDescent="0.25">
      <c r="BD709" s="6"/>
      <c r="BE709" s="7"/>
      <c r="BF709" s="1"/>
      <c r="BG709" s="1"/>
    </row>
    <row r="710" spans="56:59" ht="15.75" customHeight="1" x14ac:dyDescent="0.25">
      <c r="BD710" s="6"/>
      <c r="BE710" s="7"/>
      <c r="BF710" s="1"/>
      <c r="BG710" s="1"/>
    </row>
    <row r="711" spans="56:59" ht="15.75" customHeight="1" x14ac:dyDescent="0.25">
      <c r="BD711" s="6"/>
      <c r="BE711" s="7"/>
      <c r="BF711" s="1"/>
      <c r="BG711" s="1"/>
    </row>
    <row r="712" spans="56:59" ht="15.75" customHeight="1" x14ac:dyDescent="0.25">
      <c r="BD712" s="6"/>
      <c r="BE712" s="7"/>
      <c r="BF712" s="1"/>
      <c r="BG712" s="1"/>
    </row>
    <row r="713" spans="56:59" ht="15.75" customHeight="1" x14ac:dyDescent="0.25">
      <c r="BD713" s="6"/>
      <c r="BE713" s="7"/>
      <c r="BF713" s="1"/>
      <c r="BG713" s="1"/>
    </row>
    <row r="714" spans="56:59" ht="15.75" customHeight="1" x14ac:dyDescent="0.25">
      <c r="BD714" s="6"/>
      <c r="BE714" s="7"/>
      <c r="BF714" s="1"/>
      <c r="BG714" s="1"/>
    </row>
    <row r="715" spans="56:59" ht="15.75" customHeight="1" x14ac:dyDescent="0.25">
      <c r="BD715" s="6"/>
      <c r="BE715" s="7"/>
      <c r="BF715" s="1"/>
      <c r="BG715" s="1"/>
    </row>
    <row r="716" spans="56:59" ht="15.75" customHeight="1" x14ac:dyDescent="0.25">
      <c r="BD716" s="6"/>
      <c r="BE716" s="7"/>
      <c r="BF716" s="1"/>
      <c r="BG716" s="1"/>
    </row>
    <row r="717" spans="56:59" ht="15.75" customHeight="1" x14ac:dyDescent="0.25">
      <c r="BD717" s="6"/>
      <c r="BE717" s="7"/>
      <c r="BF717" s="1"/>
      <c r="BG717" s="1"/>
    </row>
    <row r="718" spans="56:59" ht="15.75" customHeight="1" x14ac:dyDescent="0.25">
      <c r="BD718" s="6"/>
      <c r="BE718" s="7"/>
      <c r="BF718" s="1"/>
      <c r="BG718" s="1"/>
    </row>
    <row r="719" spans="56:59" ht="15.75" customHeight="1" x14ac:dyDescent="0.25">
      <c r="BD719" s="6"/>
      <c r="BE719" s="7"/>
      <c r="BF719" s="1"/>
      <c r="BG719" s="1"/>
    </row>
    <row r="720" spans="56:59" ht="15.75" customHeight="1" x14ac:dyDescent="0.25">
      <c r="BD720" s="6"/>
      <c r="BE720" s="7"/>
      <c r="BF720" s="1"/>
      <c r="BG720" s="1"/>
    </row>
    <row r="721" spans="56:59" ht="15.75" customHeight="1" x14ac:dyDescent="0.25">
      <c r="BD721" s="6"/>
      <c r="BE721" s="7"/>
      <c r="BF721" s="1"/>
      <c r="BG721" s="1"/>
    </row>
    <row r="722" spans="56:59" ht="15.75" customHeight="1" x14ac:dyDescent="0.25">
      <c r="BD722" s="6"/>
      <c r="BE722" s="7"/>
      <c r="BF722" s="1"/>
      <c r="BG722" s="1"/>
    </row>
    <row r="723" spans="56:59" ht="15.75" customHeight="1" x14ac:dyDescent="0.25">
      <c r="BD723" s="6"/>
      <c r="BE723" s="7"/>
      <c r="BF723" s="1"/>
      <c r="BG723" s="1"/>
    </row>
    <row r="724" spans="56:59" ht="15.75" customHeight="1" x14ac:dyDescent="0.25">
      <c r="BD724" s="6"/>
      <c r="BE724" s="7"/>
      <c r="BF724" s="1"/>
      <c r="BG724" s="1"/>
    </row>
    <row r="725" spans="56:59" ht="15.75" customHeight="1" x14ac:dyDescent="0.25">
      <c r="BD725" s="6"/>
      <c r="BE725" s="7"/>
      <c r="BF725" s="1"/>
      <c r="BG725" s="1"/>
    </row>
    <row r="726" spans="56:59" ht="15.75" customHeight="1" x14ac:dyDescent="0.25">
      <c r="BD726" s="6"/>
      <c r="BE726" s="7"/>
      <c r="BF726" s="1"/>
      <c r="BG726" s="1"/>
    </row>
    <row r="727" spans="56:59" ht="15.75" customHeight="1" x14ac:dyDescent="0.25">
      <c r="BD727" s="6"/>
      <c r="BE727" s="7"/>
      <c r="BF727" s="1"/>
      <c r="BG727" s="1"/>
    </row>
    <row r="728" spans="56:59" ht="15.75" customHeight="1" x14ac:dyDescent="0.25">
      <c r="BD728" s="6"/>
      <c r="BE728" s="7"/>
      <c r="BF728" s="1"/>
      <c r="BG728" s="1"/>
    </row>
    <row r="729" spans="56:59" ht="15.75" customHeight="1" x14ac:dyDescent="0.25">
      <c r="BD729" s="6"/>
      <c r="BE729" s="7"/>
      <c r="BF729" s="1"/>
      <c r="BG729" s="1"/>
    </row>
    <row r="730" spans="56:59" ht="15.75" customHeight="1" x14ac:dyDescent="0.25">
      <c r="BD730" s="6"/>
      <c r="BE730" s="7"/>
      <c r="BF730" s="1"/>
      <c r="BG730" s="1"/>
    </row>
    <row r="731" spans="56:59" ht="15.75" customHeight="1" x14ac:dyDescent="0.25">
      <c r="BD731" s="6"/>
      <c r="BE731" s="7"/>
      <c r="BF731" s="1"/>
      <c r="BG731" s="1"/>
    </row>
    <row r="732" spans="56:59" ht="15.75" customHeight="1" x14ac:dyDescent="0.25">
      <c r="BD732" s="6"/>
      <c r="BE732" s="7"/>
      <c r="BF732" s="1"/>
      <c r="BG732" s="1"/>
    </row>
    <row r="733" spans="56:59" ht="15.75" customHeight="1" x14ac:dyDescent="0.25">
      <c r="BD733" s="6"/>
      <c r="BE733" s="7"/>
      <c r="BF733" s="1"/>
      <c r="BG733" s="1"/>
    </row>
    <row r="734" spans="56:59" ht="15.75" customHeight="1" x14ac:dyDescent="0.25">
      <c r="BD734" s="6"/>
      <c r="BE734" s="7"/>
      <c r="BF734" s="1"/>
      <c r="BG734" s="1"/>
    </row>
    <row r="735" spans="56:59" ht="15.75" customHeight="1" x14ac:dyDescent="0.25">
      <c r="BD735" s="6"/>
      <c r="BE735" s="7"/>
      <c r="BF735" s="1"/>
      <c r="BG735" s="1"/>
    </row>
    <row r="736" spans="56:59" ht="15.75" customHeight="1" x14ac:dyDescent="0.25">
      <c r="BD736" s="6"/>
      <c r="BE736" s="7"/>
      <c r="BF736" s="1"/>
      <c r="BG736" s="1"/>
    </row>
    <row r="737" spans="56:59" ht="15.75" customHeight="1" x14ac:dyDescent="0.25">
      <c r="BD737" s="6"/>
      <c r="BE737" s="7"/>
      <c r="BF737" s="1"/>
      <c r="BG737" s="1"/>
    </row>
    <row r="738" spans="56:59" ht="15.75" customHeight="1" x14ac:dyDescent="0.25">
      <c r="BD738" s="6"/>
      <c r="BE738" s="7"/>
      <c r="BF738" s="1"/>
      <c r="BG738" s="1"/>
    </row>
    <row r="739" spans="56:59" ht="15.75" customHeight="1" x14ac:dyDescent="0.25">
      <c r="BD739" s="6"/>
      <c r="BE739" s="7"/>
      <c r="BF739" s="1"/>
      <c r="BG739" s="1"/>
    </row>
    <row r="740" spans="56:59" ht="15.75" customHeight="1" x14ac:dyDescent="0.25">
      <c r="BD740" s="6"/>
      <c r="BE740" s="7"/>
      <c r="BF740" s="1"/>
      <c r="BG740" s="1"/>
    </row>
    <row r="741" spans="56:59" ht="15.75" customHeight="1" x14ac:dyDescent="0.25">
      <c r="BD741" s="6"/>
      <c r="BE741" s="7"/>
      <c r="BF741" s="1"/>
      <c r="BG741" s="1"/>
    </row>
    <row r="742" spans="56:59" ht="15.75" customHeight="1" x14ac:dyDescent="0.25">
      <c r="BD742" s="6"/>
      <c r="BE742" s="7"/>
      <c r="BF742" s="1"/>
      <c r="BG742" s="1"/>
    </row>
    <row r="743" spans="56:59" ht="15.75" customHeight="1" x14ac:dyDescent="0.25">
      <c r="BD743" s="6"/>
      <c r="BE743" s="7"/>
      <c r="BF743" s="1"/>
      <c r="BG743" s="1"/>
    </row>
    <row r="744" spans="56:59" ht="15.75" customHeight="1" x14ac:dyDescent="0.25">
      <c r="BD744" s="6"/>
      <c r="BE744" s="7"/>
      <c r="BF744" s="1"/>
      <c r="BG744" s="1"/>
    </row>
    <row r="745" spans="56:59" ht="15.75" customHeight="1" x14ac:dyDescent="0.25">
      <c r="BD745" s="6"/>
      <c r="BE745" s="7"/>
      <c r="BF745" s="1"/>
      <c r="BG745" s="1"/>
    </row>
    <row r="746" spans="56:59" ht="15.75" customHeight="1" x14ac:dyDescent="0.25">
      <c r="BD746" s="6"/>
      <c r="BE746" s="7"/>
      <c r="BF746" s="1"/>
      <c r="BG746" s="1"/>
    </row>
    <row r="747" spans="56:59" ht="15.75" customHeight="1" x14ac:dyDescent="0.25">
      <c r="BD747" s="6"/>
      <c r="BE747" s="7"/>
      <c r="BF747" s="1"/>
      <c r="BG747" s="1"/>
    </row>
    <row r="748" spans="56:59" ht="15.75" customHeight="1" x14ac:dyDescent="0.25">
      <c r="BD748" s="6"/>
      <c r="BE748" s="7"/>
      <c r="BF748" s="1"/>
      <c r="BG748" s="1"/>
    </row>
    <row r="749" spans="56:59" ht="15.75" customHeight="1" x14ac:dyDescent="0.25">
      <c r="BD749" s="6"/>
      <c r="BE749" s="7"/>
      <c r="BF749" s="1"/>
      <c r="BG749" s="1"/>
    </row>
    <row r="750" spans="56:59" ht="15.75" customHeight="1" x14ac:dyDescent="0.25">
      <c r="BD750" s="6"/>
      <c r="BE750" s="7"/>
      <c r="BF750" s="1"/>
      <c r="BG750" s="1"/>
    </row>
    <row r="751" spans="56:59" ht="15.75" customHeight="1" x14ac:dyDescent="0.25">
      <c r="BD751" s="6"/>
      <c r="BE751" s="7"/>
      <c r="BF751" s="1"/>
      <c r="BG751" s="1"/>
    </row>
    <row r="752" spans="56:59" ht="15.75" customHeight="1" x14ac:dyDescent="0.25">
      <c r="BD752" s="6"/>
      <c r="BE752" s="7"/>
      <c r="BF752" s="1"/>
      <c r="BG752" s="1"/>
    </row>
    <row r="753" spans="56:59" ht="15.75" customHeight="1" x14ac:dyDescent="0.25">
      <c r="BD753" s="6"/>
      <c r="BE753" s="7"/>
      <c r="BF753" s="1"/>
      <c r="BG753" s="1"/>
    </row>
    <row r="754" spans="56:59" ht="15.75" customHeight="1" x14ac:dyDescent="0.25">
      <c r="BD754" s="6"/>
      <c r="BE754" s="7"/>
      <c r="BF754" s="1"/>
      <c r="BG754" s="1"/>
    </row>
    <row r="755" spans="56:59" ht="15.75" customHeight="1" x14ac:dyDescent="0.25">
      <c r="BD755" s="6"/>
      <c r="BE755" s="7"/>
      <c r="BF755" s="1"/>
      <c r="BG755" s="1"/>
    </row>
    <row r="756" spans="56:59" ht="15.75" customHeight="1" x14ac:dyDescent="0.25">
      <c r="BD756" s="6"/>
      <c r="BE756" s="7"/>
      <c r="BF756" s="1"/>
      <c r="BG756" s="1"/>
    </row>
    <row r="757" spans="56:59" ht="15.75" customHeight="1" x14ac:dyDescent="0.25">
      <c r="BD757" s="6"/>
      <c r="BE757" s="7"/>
      <c r="BF757" s="1"/>
      <c r="BG757" s="1"/>
    </row>
    <row r="758" spans="56:59" ht="15.75" customHeight="1" x14ac:dyDescent="0.25">
      <c r="BD758" s="6"/>
      <c r="BE758" s="7"/>
      <c r="BF758" s="1"/>
      <c r="BG758" s="1"/>
    </row>
    <row r="759" spans="56:59" ht="15.75" customHeight="1" x14ac:dyDescent="0.25">
      <c r="BD759" s="6"/>
      <c r="BE759" s="7"/>
      <c r="BF759" s="1"/>
      <c r="BG759" s="1"/>
    </row>
    <row r="760" spans="56:59" ht="15.75" customHeight="1" x14ac:dyDescent="0.25">
      <c r="BD760" s="6"/>
      <c r="BE760" s="7"/>
      <c r="BF760" s="1"/>
      <c r="BG760" s="1"/>
    </row>
    <row r="761" spans="56:59" ht="15.75" customHeight="1" x14ac:dyDescent="0.25">
      <c r="BD761" s="6"/>
      <c r="BE761" s="7"/>
      <c r="BF761" s="1"/>
      <c r="BG761" s="1"/>
    </row>
    <row r="762" spans="56:59" ht="15.75" customHeight="1" x14ac:dyDescent="0.25">
      <c r="BD762" s="6"/>
      <c r="BE762" s="7"/>
      <c r="BF762" s="1"/>
      <c r="BG762" s="1"/>
    </row>
    <row r="763" spans="56:59" ht="15.75" customHeight="1" x14ac:dyDescent="0.25">
      <c r="BD763" s="6"/>
      <c r="BE763" s="7"/>
      <c r="BF763" s="1"/>
      <c r="BG763" s="1"/>
    </row>
    <row r="764" spans="56:59" ht="15.75" customHeight="1" x14ac:dyDescent="0.25">
      <c r="BD764" s="6"/>
      <c r="BE764" s="7"/>
      <c r="BF764" s="1"/>
      <c r="BG764" s="1"/>
    </row>
    <row r="765" spans="56:59" ht="15.75" customHeight="1" x14ac:dyDescent="0.25">
      <c r="BD765" s="6"/>
      <c r="BE765" s="7"/>
      <c r="BF765" s="1"/>
      <c r="BG765" s="1"/>
    </row>
    <row r="766" spans="56:59" ht="15.75" customHeight="1" x14ac:dyDescent="0.25">
      <c r="BD766" s="6"/>
      <c r="BE766" s="7"/>
      <c r="BF766" s="1"/>
      <c r="BG766" s="1"/>
    </row>
    <row r="767" spans="56:59" ht="15.75" customHeight="1" x14ac:dyDescent="0.25">
      <c r="BD767" s="6"/>
      <c r="BE767" s="7"/>
      <c r="BF767" s="1"/>
      <c r="BG767" s="1"/>
    </row>
    <row r="768" spans="56:59" ht="15.75" customHeight="1" x14ac:dyDescent="0.25">
      <c r="BD768" s="6"/>
      <c r="BE768" s="7"/>
      <c r="BF768" s="1"/>
      <c r="BG768" s="1"/>
    </row>
    <row r="769" spans="56:59" ht="15.75" customHeight="1" x14ac:dyDescent="0.25">
      <c r="BD769" s="6"/>
      <c r="BE769" s="7"/>
      <c r="BF769" s="1"/>
      <c r="BG769" s="1"/>
    </row>
    <row r="770" spans="56:59" ht="15.75" customHeight="1" x14ac:dyDescent="0.25">
      <c r="BD770" s="6"/>
      <c r="BE770" s="7"/>
      <c r="BF770" s="1"/>
      <c r="BG770" s="1"/>
    </row>
    <row r="771" spans="56:59" ht="15.75" customHeight="1" x14ac:dyDescent="0.25">
      <c r="BD771" s="6"/>
      <c r="BE771" s="7"/>
      <c r="BF771" s="1"/>
      <c r="BG771" s="1"/>
    </row>
    <row r="772" spans="56:59" ht="15.75" customHeight="1" x14ac:dyDescent="0.25">
      <c r="BD772" s="6"/>
      <c r="BE772" s="7"/>
      <c r="BF772" s="1"/>
      <c r="BG772" s="1"/>
    </row>
    <row r="773" spans="56:59" ht="15.75" customHeight="1" x14ac:dyDescent="0.25">
      <c r="BD773" s="6"/>
      <c r="BE773" s="7"/>
      <c r="BF773" s="1"/>
      <c r="BG773" s="1"/>
    </row>
    <row r="774" spans="56:59" ht="15.75" customHeight="1" x14ac:dyDescent="0.25">
      <c r="BD774" s="6"/>
      <c r="BE774" s="7"/>
      <c r="BF774" s="1"/>
      <c r="BG774" s="1"/>
    </row>
    <row r="775" spans="56:59" ht="15.75" customHeight="1" x14ac:dyDescent="0.25">
      <c r="BD775" s="6"/>
      <c r="BE775" s="7"/>
      <c r="BF775" s="1"/>
      <c r="BG775" s="1"/>
    </row>
    <row r="776" spans="56:59" ht="15.75" customHeight="1" x14ac:dyDescent="0.25">
      <c r="BD776" s="6"/>
      <c r="BE776" s="7"/>
      <c r="BF776" s="1"/>
      <c r="BG776" s="1"/>
    </row>
    <row r="777" spans="56:59" ht="15.75" customHeight="1" x14ac:dyDescent="0.25">
      <c r="BD777" s="6"/>
      <c r="BE777" s="7"/>
      <c r="BF777" s="1"/>
      <c r="BG777" s="1"/>
    </row>
    <row r="778" spans="56:59" ht="15.75" customHeight="1" x14ac:dyDescent="0.25">
      <c r="BD778" s="6"/>
      <c r="BE778" s="7"/>
      <c r="BF778" s="1"/>
      <c r="BG778" s="1"/>
    </row>
    <row r="779" spans="56:59" ht="15.75" customHeight="1" x14ac:dyDescent="0.25">
      <c r="BD779" s="6"/>
      <c r="BE779" s="7"/>
      <c r="BF779" s="1"/>
      <c r="BG779" s="1"/>
    </row>
    <row r="780" spans="56:59" ht="15.75" customHeight="1" x14ac:dyDescent="0.25">
      <c r="BD780" s="6"/>
      <c r="BE780" s="7"/>
      <c r="BF780" s="1"/>
      <c r="BG780" s="1"/>
    </row>
    <row r="781" spans="56:59" ht="15.75" customHeight="1" x14ac:dyDescent="0.25">
      <c r="BD781" s="6"/>
      <c r="BE781" s="7"/>
      <c r="BF781" s="1"/>
      <c r="BG781" s="1"/>
    </row>
    <row r="782" spans="56:59" ht="15.75" customHeight="1" x14ac:dyDescent="0.25">
      <c r="BD782" s="6"/>
      <c r="BE782" s="7"/>
      <c r="BF782" s="1"/>
      <c r="BG782" s="1"/>
    </row>
    <row r="783" spans="56:59" ht="15.75" customHeight="1" x14ac:dyDescent="0.25">
      <c r="BD783" s="6"/>
      <c r="BE783" s="7"/>
      <c r="BF783" s="1"/>
      <c r="BG783" s="1"/>
    </row>
    <row r="784" spans="56:59" ht="15.75" customHeight="1" x14ac:dyDescent="0.25">
      <c r="BD784" s="6"/>
      <c r="BE784" s="7"/>
      <c r="BF784" s="1"/>
      <c r="BG784" s="1"/>
    </row>
    <row r="785" spans="56:59" ht="15.75" customHeight="1" x14ac:dyDescent="0.25">
      <c r="BD785" s="6"/>
      <c r="BE785" s="7"/>
      <c r="BF785" s="1"/>
      <c r="BG785" s="1"/>
    </row>
    <row r="786" spans="56:59" ht="15.75" customHeight="1" x14ac:dyDescent="0.25">
      <c r="BD786" s="6"/>
      <c r="BE786" s="7"/>
      <c r="BF786" s="1"/>
      <c r="BG786" s="1"/>
    </row>
    <row r="787" spans="56:59" ht="15.75" customHeight="1" x14ac:dyDescent="0.25">
      <c r="BD787" s="6"/>
      <c r="BE787" s="7"/>
      <c r="BF787" s="1"/>
      <c r="BG787" s="1"/>
    </row>
    <row r="788" spans="56:59" ht="15.75" customHeight="1" x14ac:dyDescent="0.25">
      <c r="BD788" s="6"/>
      <c r="BE788" s="7"/>
      <c r="BF788" s="1"/>
      <c r="BG788" s="1"/>
    </row>
    <row r="789" spans="56:59" ht="15.75" customHeight="1" x14ac:dyDescent="0.25">
      <c r="BD789" s="6"/>
      <c r="BE789" s="7"/>
      <c r="BF789" s="1"/>
      <c r="BG789" s="1"/>
    </row>
    <row r="790" spans="56:59" ht="15.75" customHeight="1" x14ac:dyDescent="0.25">
      <c r="BD790" s="6"/>
      <c r="BE790" s="7"/>
      <c r="BF790" s="1"/>
      <c r="BG790" s="1"/>
    </row>
    <row r="791" spans="56:59" ht="15.75" customHeight="1" x14ac:dyDescent="0.25">
      <c r="BD791" s="6"/>
      <c r="BE791" s="7"/>
      <c r="BF791" s="1"/>
      <c r="BG791" s="1"/>
    </row>
    <row r="792" spans="56:59" ht="15.75" customHeight="1" x14ac:dyDescent="0.25">
      <c r="BD792" s="6"/>
      <c r="BE792" s="7"/>
      <c r="BF792" s="1"/>
      <c r="BG792" s="1"/>
    </row>
    <row r="793" spans="56:59" ht="15.75" customHeight="1" x14ac:dyDescent="0.25">
      <c r="BD793" s="6"/>
      <c r="BE793" s="7"/>
      <c r="BF793" s="1"/>
      <c r="BG793" s="1"/>
    </row>
    <row r="794" spans="56:59" ht="15.75" customHeight="1" x14ac:dyDescent="0.25">
      <c r="BD794" s="6"/>
      <c r="BE794" s="7"/>
      <c r="BF794" s="1"/>
      <c r="BG794" s="1"/>
    </row>
    <row r="795" spans="56:59" ht="15.75" customHeight="1" x14ac:dyDescent="0.25">
      <c r="BD795" s="6"/>
      <c r="BE795" s="7"/>
      <c r="BF795" s="1"/>
      <c r="BG795" s="1"/>
    </row>
    <row r="796" spans="56:59" ht="15.75" customHeight="1" x14ac:dyDescent="0.25">
      <c r="BD796" s="6"/>
      <c r="BE796" s="7"/>
      <c r="BF796" s="1"/>
      <c r="BG796" s="1"/>
    </row>
    <row r="797" spans="56:59" ht="15.75" customHeight="1" x14ac:dyDescent="0.25">
      <c r="BD797" s="6"/>
      <c r="BE797" s="7"/>
      <c r="BF797" s="1"/>
      <c r="BG797" s="1"/>
    </row>
    <row r="798" spans="56:59" ht="15.75" customHeight="1" x14ac:dyDescent="0.25">
      <c r="BD798" s="6"/>
      <c r="BE798" s="7"/>
      <c r="BF798" s="1"/>
      <c r="BG798" s="1"/>
    </row>
    <row r="799" spans="56:59" ht="15.75" customHeight="1" x14ac:dyDescent="0.25">
      <c r="BD799" s="6"/>
      <c r="BE799" s="7"/>
      <c r="BF799" s="1"/>
      <c r="BG799" s="1"/>
    </row>
    <row r="800" spans="56:59" ht="15.75" customHeight="1" x14ac:dyDescent="0.25">
      <c r="BD800" s="6"/>
      <c r="BE800" s="7"/>
      <c r="BF800" s="1"/>
      <c r="BG800" s="1"/>
    </row>
    <row r="801" spans="56:59" ht="15.75" customHeight="1" x14ac:dyDescent="0.25">
      <c r="BD801" s="6"/>
      <c r="BE801" s="7"/>
      <c r="BF801" s="1"/>
      <c r="BG801" s="1"/>
    </row>
    <row r="802" spans="56:59" ht="15.75" customHeight="1" x14ac:dyDescent="0.25">
      <c r="BD802" s="6"/>
      <c r="BE802" s="7"/>
      <c r="BF802" s="1"/>
      <c r="BG802" s="1"/>
    </row>
    <row r="803" spans="56:59" ht="15.75" customHeight="1" x14ac:dyDescent="0.25">
      <c r="BD803" s="6"/>
      <c r="BE803" s="7"/>
      <c r="BF803" s="1"/>
      <c r="BG803" s="1"/>
    </row>
    <row r="804" spans="56:59" ht="15.75" customHeight="1" x14ac:dyDescent="0.25">
      <c r="BD804" s="6"/>
      <c r="BE804" s="7"/>
      <c r="BF804" s="1"/>
      <c r="BG804" s="1"/>
    </row>
    <row r="805" spans="56:59" ht="15.75" customHeight="1" x14ac:dyDescent="0.25">
      <c r="BD805" s="6"/>
      <c r="BE805" s="7"/>
      <c r="BF805" s="1"/>
      <c r="BG805" s="1"/>
    </row>
    <row r="806" spans="56:59" ht="15.75" customHeight="1" x14ac:dyDescent="0.25">
      <c r="BD806" s="6"/>
      <c r="BE806" s="7"/>
      <c r="BF806" s="1"/>
      <c r="BG806" s="1"/>
    </row>
    <row r="807" spans="56:59" ht="15.75" customHeight="1" x14ac:dyDescent="0.25">
      <c r="BD807" s="6"/>
      <c r="BE807" s="7"/>
      <c r="BF807" s="1"/>
      <c r="BG807" s="1"/>
    </row>
    <row r="808" spans="56:59" ht="15.75" customHeight="1" x14ac:dyDescent="0.25">
      <c r="BD808" s="6"/>
      <c r="BE808" s="7"/>
      <c r="BF808" s="1"/>
      <c r="BG808" s="1"/>
    </row>
    <row r="809" spans="56:59" ht="15.75" customHeight="1" x14ac:dyDescent="0.25">
      <c r="BD809" s="6"/>
      <c r="BE809" s="7"/>
      <c r="BF809" s="1"/>
      <c r="BG809" s="1"/>
    </row>
    <row r="810" spans="56:59" ht="15.75" customHeight="1" x14ac:dyDescent="0.25">
      <c r="BD810" s="6"/>
      <c r="BE810" s="7"/>
      <c r="BF810" s="1"/>
      <c r="BG810" s="1"/>
    </row>
    <row r="811" spans="56:59" ht="15.75" customHeight="1" x14ac:dyDescent="0.25">
      <c r="BD811" s="6"/>
      <c r="BE811" s="7"/>
      <c r="BF811" s="1"/>
      <c r="BG811" s="1"/>
    </row>
    <row r="812" spans="56:59" ht="15.75" customHeight="1" x14ac:dyDescent="0.25">
      <c r="BD812" s="6"/>
      <c r="BE812" s="7"/>
      <c r="BF812" s="1"/>
      <c r="BG812" s="1"/>
    </row>
    <row r="813" spans="56:59" ht="15.75" customHeight="1" x14ac:dyDescent="0.25">
      <c r="BD813" s="6"/>
      <c r="BE813" s="7"/>
      <c r="BF813" s="1"/>
      <c r="BG813" s="1"/>
    </row>
    <row r="814" spans="56:59" ht="15.75" customHeight="1" x14ac:dyDescent="0.25">
      <c r="BD814" s="6"/>
      <c r="BE814" s="7"/>
      <c r="BF814" s="1"/>
      <c r="BG814" s="1"/>
    </row>
    <row r="815" spans="56:59" ht="15.75" customHeight="1" x14ac:dyDescent="0.25">
      <c r="BD815" s="6"/>
      <c r="BE815" s="7"/>
      <c r="BF815" s="1"/>
      <c r="BG815" s="1"/>
    </row>
    <row r="816" spans="56:59" ht="15.75" customHeight="1" x14ac:dyDescent="0.25">
      <c r="BD816" s="6"/>
      <c r="BE816" s="7"/>
      <c r="BF816" s="1"/>
      <c r="BG816" s="1"/>
    </row>
    <row r="817" spans="56:59" ht="15.75" customHeight="1" x14ac:dyDescent="0.25">
      <c r="BD817" s="6"/>
      <c r="BE817" s="7"/>
      <c r="BF817" s="1"/>
      <c r="BG817" s="1"/>
    </row>
    <row r="818" spans="56:59" ht="15.75" customHeight="1" x14ac:dyDescent="0.25">
      <c r="BD818" s="6"/>
      <c r="BE818" s="7"/>
      <c r="BF818" s="1"/>
      <c r="BG818" s="1"/>
    </row>
    <row r="819" spans="56:59" ht="15.75" customHeight="1" x14ac:dyDescent="0.25">
      <c r="BD819" s="6"/>
      <c r="BE819" s="7"/>
      <c r="BF819" s="1"/>
      <c r="BG819" s="1"/>
    </row>
    <row r="820" spans="56:59" ht="15.75" customHeight="1" x14ac:dyDescent="0.25">
      <c r="BD820" s="6"/>
      <c r="BE820" s="7"/>
      <c r="BF820" s="1"/>
      <c r="BG820" s="1"/>
    </row>
    <row r="821" spans="56:59" ht="15.75" customHeight="1" x14ac:dyDescent="0.25">
      <c r="BD821" s="6"/>
      <c r="BE821" s="7"/>
      <c r="BF821" s="1"/>
      <c r="BG821" s="1"/>
    </row>
    <row r="822" spans="56:59" ht="15.75" customHeight="1" x14ac:dyDescent="0.25">
      <c r="BD822" s="6"/>
      <c r="BE822" s="7"/>
      <c r="BF822" s="1"/>
      <c r="BG822" s="1"/>
    </row>
    <row r="823" spans="56:59" ht="15.75" customHeight="1" x14ac:dyDescent="0.25">
      <c r="BD823" s="6"/>
      <c r="BE823" s="7"/>
      <c r="BF823" s="1"/>
      <c r="BG823" s="1"/>
    </row>
    <row r="824" spans="56:59" ht="15.75" customHeight="1" x14ac:dyDescent="0.25">
      <c r="BD824" s="6"/>
      <c r="BE824" s="7"/>
      <c r="BF824" s="1"/>
      <c r="BG824" s="1"/>
    </row>
    <row r="825" spans="56:59" ht="15.75" customHeight="1" x14ac:dyDescent="0.25">
      <c r="BD825" s="6"/>
      <c r="BE825" s="7"/>
      <c r="BF825" s="1"/>
      <c r="BG825" s="1"/>
    </row>
    <row r="826" spans="56:59" ht="15.75" customHeight="1" x14ac:dyDescent="0.25">
      <c r="BD826" s="6"/>
      <c r="BE826" s="7"/>
      <c r="BF826" s="1"/>
      <c r="BG826" s="1"/>
    </row>
    <row r="827" spans="56:59" ht="15.75" customHeight="1" x14ac:dyDescent="0.25">
      <c r="BD827" s="6"/>
      <c r="BE827" s="7"/>
      <c r="BF827" s="1"/>
      <c r="BG827" s="1"/>
    </row>
    <row r="828" spans="56:59" ht="15.75" customHeight="1" x14ac:dyDescent="0.25">
      <c r="BD828" s="6"/>
      <c r="BE828" s="7"/>
      <c r="BF828" s="1"/>
      <c r="BG828" s="1"/>
    </row>
    <row r="829" spans="56:59" ht="15.75" customHeight="1" x14ac:dyDescent="0.25">
      <c r="BD829" s="6"/>
      <c r="BE829" s="7"/>
      <c r="BF829" s="1"/>
      <c r="BG829" s="1"/>
    </row>
    <row r="830" spans="56:59" ht="15.75" customHeight="1" x14ac:dyDescent="0.25">
      <c r="BD830" s="6"/>
      <c r="BE830" s="7"/>
      <c r="BF830" s="1"/>
      <c r="BG830" s="1"/>
    </row>
    <row r="831" spans="56:59" ht="15.75" customHeight="1" x14ac:dyDescent="0.25">
      <c r="BD831" s="6"/>
      <c r="BE831" s="7"/>
      <c r="BF831" s="1"/>
      <c r="BG831" s="1"/>
    </row>
    <row r="832" spans="56:59" ht="15.75" customHeight="1" x14ac:dyDescent="0.25">
      <c r="BD832" s="6"/>
      <c r="BE832" s="7"/>
      <c r="BF832" s="1"/>
      <c r="BG832" s="1"/>
    </row>
    <row r="833" spans="56:59" ht="15.75" customHeight="1" x14ac:dyDescent="0.25">
      <c r="BD833" s="6"/>
      <c r="BE833" s="7"/>
      <c r="BF833" s="1"/>
      <c r="BG833" s="1"/>
    </row>
    <row r="834" spans="56:59" ht="15.75" customHeight="1" x14ac:dyDescent="0.25">
      <c r="BD834" s="6"/>
      <c r="BE834" s="7"/>
      <c r="BF834" s="1"/>
      <c r="BG834" s="1"/>
    </row>
    <row r="835" spans="56:59" ht="15.75" customHeight="1" x14ac:dyDescent="0.25">
      <c r="BD835" s="6"/>
      <c r="BE835" s="7"/>
      <c r="BF835" s="1"/>
      <c r="BG835" s="1"/>
    </row>
    <row r="836" spans="56:59" ht="15.75" customHeight="1" x14ac:dyDescent="0.25">
      <c r="BD836" s="6"/>
      <c r="BE836" s="7"/>
      <c r="BF836" s="1"/>
      <c r="BG836" s="1"/>
    </row>
    <row r="837" spans="56:59" ht="15.75" customHeight="1" x14ac:dyDescent="0.25">
      <c r="BD837" s="6"/>
      <c r="BE837" s="7"/>
      <c r="BF837" s="1"/>
      <c r="BG837" s="1"/>
    </row>
    <row r="838" spans="56:59" ht="15.75" customHeight="1" x14ac:dyDescent="0.25">
      <c r="BD838" s="6"/>
      <c r="BE838" s="7"/>
      <c r="BF838" s="1"/>
      <c r="BG838" s="1"/>
    </row>
    <row r="839" spans="56:59" ht="15.75" customHeight="1" x14ac:dyDescent="0.25">
      <c r="BD839" s="6"/>
      <c r="BE839" s="7"/>
      <c r="BF839" s="1"/>
      <c r="BG839" s="1"/>
    </row>
    <row r="840" spans="56:59" ht="15.75" customHeight="1" x14ac:dyDescent="0.25">
      <c r="BD840" s="6"/>
      <c r="BE840" s="7"/>
      <c r="BF840" s="1"/>
      <c r="BG840" s="1"/>
    </row>
    <row r="841" spans="56:59" ht="15.75" customHeight="1" x14ac:dyDescent="0.25">
      <c r="BD841" s="6"/>
      <c r="BE841" s="7"/>
      <c r="BF841" s="1"/>
      <c r="BG841" s="1"/>
    </row>
    <row r="842" spans="56:59" ht="15.75" customHeight="1" x14ac:dyDescent="0.25">
      <c r="BD842" s="6"/>
      <c r="BE842" s="7"/>
      <c r="BF842" s="1"/>
      <c r="BG842" s="1"/>
    </row>
    <row r="843" spans="56:59" ht="15.75" customHeight="1" x14ac:dyDescent="0.25">
      <c r="BD843" s="6"/>
      <c r="BE843" s="7"/>
      <c r="BF843" s="1"/>
      <c r="BG843" s="1"/>
    </row>
    <row r="844" spans="56:59" ht="15.75" customHeight="1" x14ac:dyDescent="0.25">
      <c r="BD844" s="6"/>
      <c r="BE844" s="7"/>
      <c r="BF844" s="1"/>
      <c r="BG844" s="1"/>
    </row>
    <row r="845" spans="56:59" ht="15.75" customHeight="1" x14ac:dyDescent="0.25">
      <c r="BD845" s="6"/>
      <c r="BE845" s="7"/>
      <c r="BF845" s="1"/>
      <c r="BG845" s="1"/>
    </row>
    <row r="846" spans="56:59" ht="15.75" customHeight="1" x14ac:dyDescent="0.25">
      <c r="BD846" s="6"/>
      <c r="BE846" s="7"/>
      <c r="BF846" s="1"/>
      <c r="BG846" s="1"/>
    </row>
    <row r="847" spans="56:59" ht="15.75" customHeight="1" x14ac:dyDescent="0.25">
      <c r="BD847" s="6"/>
      <c r="BE847" s="7"/>
      <c r="BF847" s="1"/>
      <c r="BG847" s="1"/>
    </row>
    <row r="848" spans="56:59" ht="15.75" customHeight="1" x14ac:dyDescent="0.25">
      <c r="BD848" s="6"/>
      <c r="BE848" s="7"/>
      <c r="BF848" s="1"/>
      <c r="BG848" s="1"/>
    </row>
    <row r="849" spans="56:59" ht="15.75" customHeight="1" x14ac:dyDescent="0.25">
      <c r="BD849" s="6"/>
      <c r="BE849" s="7"/>
      <c r="BF849" s="1"/>
      <c r="BG849" s="1"/>
    </row>
    <row r="850" spans="56:59" ht="15.75" customHeight="1" x14ac:dyDescent="0.25">
      <c r="BD850" s="6"/>
      <c r="BE850" s="7"/>
      <c r="BF850" s="1"/>
      <c r="BG850" s="1"/>
    </row>
    <row r="851" spans="56:59" ht="15.75" customHeight="1" x14ac:dyDescent="0.25">
      <c r="BD851" s="6"/>
      <c r="BE851" s="7"/>
      <c r="BF851" s="1"/>
      <c r="BG851" s="1"/>
    </row>
    <row r="852" spans="56:59" ht="15.75" customHeight="1" x14ac:dyDescent="0.25">
      <c r="BD852" s="6"/>
      <c r="BE852" s="7"/>
      <c r="BF852" s="1"/>
      <c r="BG852" s="1"/>
    </row>
    <row r="853" spans="56:59" ht="15.75" customHeight="1" x14ac:dyDescent="0.25">
      <c r="BD853" s="6"/>
      <c r="BE853" s="7"/>
      <c r="BF853" s="1"/>
      <c r="BG853" s="1"/>
    </row>
    <row r="854" spans="56:59" ht="15.75" customHeight="1" x14ac:dyDescent="0.25">
      <c r="BD854" s="6"/>
      <c r="BE854" s="7"/>
      <c r="BF854" s="1"/>
      <c r="BG854" s="1"/>
    </row>
    <row r="855" spans="56:59" ht="15.75" customHeight="1" x14ac:dyDescent="0.25">
      <c r="BD855" s="6"/>
      <c r="BE855" s="7"/>
      <c r="BF855" s="1"/>
      <c r="BG855" s="1"/>
    </row>
    <row r="856" spans="56:59" ht="15.75" customHeight="1" x14ac:dyDescent="0.25">
      <c r="BD856" s="6"/>
      <c r="BE856" s="7"/>
      <c r="BF856" s="1"/>
      <c r="BG856" s="1"/>
    </row>
    <row r="857" spans="56:59" ht="15.75" customHeight="1" x14ac:dyDescent="0.25">
      <c r="BD857" s="6"/>
      <c r="BE857" s="7"/>
      <c r="BF857" s="1"/>
      <c r="BG857" s="1"/>
    </row>
    <row r="858" spans="56:59" ht="15.75" customHeight="1" x14ac:dyDescent="0.25">
      <c r="BD858" s="6"/>
      <c r="BE858" s="7"/>
      <c r="BF858" s="1"/>
      <c r="BG858" s="1"/>
    </row>
    <row r="859" spans="56:59" ht="15.75" customHeight="1" x14ac:dyDescent="0.25">
      <c r="BD859" s="6"/>
      <c r="BE859" s="7"/>
      <c r="BF859" s="1"/>
      <c r="BG859" s="1"/>
    </row>
    <row r="860" spans="56:59" ht="15.75" customHeight="1" x14ac:dyDescent="0.25">
      <c r="BD860" s="6"/>
      <c r="BE860" s="7"/>
      <c r="BF860" s="1"/>
      <c r="BG860" s="1"/>
    </row>
    <row r="861" spans="56:59" ht="15.75" customHeight="1" x14ac:dyDescent="0.25">
      <c r="BD861" s="6"/>
      <c r="BE861" s="7"/>
      <c r="BF861" s="1"/>
      <c r="BG861" s="1"/>
    </row>
    <row r="862" spans="56:59" ht="15.75" customHeight="1" x14ac:dyDescent="0.25">
      <c r="BD862" s="6"/>
      <c r="BE862" s="7"/>
      <c r="BF862" s="1"/>
      <c r="BG862" s="1"/>
    </row>
    <row r="863" spans="56:59" ht="15.75" customHeight="1" x14ac:dyDescent="0.25">
      <c r="BD863" s="6"/>
      <c r="BE863" s="7"/>
      <c r="BF863" s="1"/>
      <c r="BG863" s="1"/>
    </row>
    <row r="864" spans="56:59" ht="15.75" customHeight="1" x14ac:dyDescent="0.25">
      <c r="BD864" s="6"/>
      <c r="BE864" s="7"/>
      <c r="BF864" s="1"/>
      <c r="BG864" s="1"/>
    </row>
    <row r="865" spans="56:59" ht="15.75" customHeight="1" x14ac:dyDescent="0.25">
      <c r="BD865" s="6"/>
      <c r="BE865" s="7"/>
      <c r="BF865" s="1"/>
      <c r="BG865" s="1"/>
    </row>
    <row r="866" spans="56:59" ht="15.75" customHeight="1" x14ac:dyDescent="0.25">
      <c r="BD866" s="6"/>
      <c r="BE866" s="7"/>
      <c r="BF866" s="1"/>
      <c r="BG866" s="1"/>
    </row>
    <row r="867" spans="56:59" ht="15.75" customHeight="1" x14ac:dyDescent="0.25">
      <c r="BD867" s="6"/>
      <c r="BE867" s="7"/>
      <c r="BF867" s="1"/>
      <c r="BG867" s="1"/>
    </row>
    <row r="868" spans="56:59" ht="15.75" customHeight="1" x14ac:dyDescent="0.25">
      <c r="BD868" s="6"/>
      <c r="BE868" s="7"/>
      <c r="BF868" s="1"/>
      <c r="BG868" s="1"/>
    </row>
    <row r="869" spans="56:59" ht="15.75" customHeight="1" x14ac:dyDescent="0.25">
      <c r="BD869" s="6"/>
      <c r="BE869" s="7"/>
      <c r="BF869" s="1"/>
      <c r="BG869" s="1"/>
    </row>
    <row r="870" spans="56:59" ht="15.75" customHeight="1" x14ac:dyDescent="0.25">
      <c r="BD870" s="6"/>
      <c r="BE870" s="7"/>
      <c r="BF870" s="1"/>
      <c r="BG870" s="1"/>
    </row>
    <row r="871" spans="56:59" ht="15.75" customHeight="1" x14ac:dyDescent="0.25">
      <c r="BD871" s="6"/>
      <c r="BE871" s="7"/>
      <c r="BF871" s="1"/>
      <c r="BG871" s="1"/>
    </row>
    <row r="872" spans="56:59" ht="15.75" customHeight="1" x14ac:dyDescent="0.25">
      <c r="BD872" s="6"/>
      <c r="BE872" s="7"/>
      <c r="BF872" s="1"/>
      <c r="BG872" s="1"/>
    </row>
    <row r="873" spans="56:59" ht="15.75" customHeight="1" x14ac:dyDescent="0.25">
      <c r="BD873" s="6"/>
      <c r="BE873" s="7"/>
      <c r="BF873" s="1"/>
      <c r="BG873" s="1"/>
    </row>
    <row r="874" spans="56:59" ht="15.75" customHeight="1" x14ac:dyDescent="0.25">
      <c r="BD874" s="6"/>
      <c r="BE874" s="7"/>
      <c r="BF874" s="1"/>
      <c r="BG874" s="1"/>
    </row>
    <row r="875" spans="56:59" ht="15.75" customHeight="1" x14ac:dyDescent="0.25">
      <c r="BD875" s="6"/>
      <c r="BE875" s="7"/>
      <c r="BF875" s="1"/>
      <c r="BG875" s="1"/>
    </row>
    <row r="876" spans="56:59" ht="15.75" customHeight="1" x14ac:dyDescent="0.25">
      <c r="BD876" s="6"/>
      <c r="BE876" s="7"/>
      <c r="BF876" s="1"/>
      <c r="BG876" s="1"/>
    </row>
    <row r="877" spans="56:59" ht="15.75" customHeight="1" x14ac:dyDescent="0.25">
      <c r="BD877" s="6"/>
      <c r="BE877" s="7"/>
      <c r="BF877" s="1"/>
      <c r="BG877" s="1"/>
    </row>
    <row r="878" spans="56:59" ht="15.75" customHeight="1" x14ac:dyDescent="0.25">
      <c r="BD878" s="6"/>
      <c r="BE878" s="7"/>
      <c r="BF878" s="1"/>
      <c r="BG878" s="1"/>
    </row>
    <row r="879" spans="56:59" ht="15.75" customHeight="1" x14ac:dyDescent="0.25">
      <c r="BD879" s="6"/>
      <c r="BE879" s="7"/>
      <c r="BF879" s="1"/>
      <c r="BG879" s="1"/>
    </row>
    <row r="880" spans="56:59" ht="15.75" customHeight="1" x14ac:dyDescent="0.25">
      <c r="BD880" s="6"/>
      <c r="BE880" s="7"/>
      <c r="BF880" s="1"/>
      <c r="BG880" s="1"/>
    </row>
    <row r="881" spans="56:59" ht="15.75" customHeight="1" x14ac:dyDescent="0.25">
      <c r="BD881" s="6"/>
      <c r="BE881" s="7"/>
      <c r="BF881" s="1"/>
      <c r="BG881" s="1"/>
    </row>
    <row r="882" spans="56:59" ht="15.75" customHeight="1" x14ac:dyDescent="0.25">
      <c r="BD882" s="6"/>
      <c r="BE882" s="7"/>
      <c r="BF882" s="1"/>
      <c r="BG882" s="1"/>
    </row>
    <row r="883" spans="56:59" ht="15.75" customHeight="1" x14ac:dyDescent="0.25">
      <c r="BD883" s="6"/>
      <c r="BE883" s="7"/>
      <c r="BF883" s="1"/>
      <c r="BG883" s="1"/>
    </row>
    <row r="884" spans="56:59" ht="15.75" customHeight="1" x14ac:dyDescent="0.25">
      <c r="BD884" s="6"/>
      <c r="BE884" s="7"/>
      <c r="BF884" s="1"/>
      <c r="BG884" s="1"/>
    </row>
    <row r="885" spans="56:59" ht="15.75" customHeight="1" x14ac:dyDescent="0.25">
      <c r="BD885" s="6"/>
      <c r="BE885" s="7"/>
      <c r="BF885" s="1"/>
      <c r="BG885" s="1"/>
    </row>
    <row r="886" spans="56:59" ht="15.75" customHeight="1" x14ac:dyDescent="0.25">
      <c r="BD886" s="6"/>
      <c r="BE886" s="7"/>
      <c r="BF886" s="1"/>
      <c r="BG886" s="1"/>
    </row>
    <row r="887" spans="56:59" ht="15.75" customHeight="1" x14ac:dyDescent="0.25">
      <c r="BD887" s="6"/>
      <c r="BE887" s="7"/>
      <c r="BF887" s="1"/>
      <c r="BG887" s="1"/>
    </row>
    <row r="888" spans="56:59" ht="15.75" customHeight="1" x14ac:dyDescent="0.25">
      <c r="BD888" s="6"/>
      <c r="BE888" s="7"/>
      <c r="BF888" s="1"/>
      <c r="BG888" s="1"/>
    </row>
    <row r="889" spans="56:59" ht="15.75" customHeight="1" x14ac:dyDescent="0.25">
      <c r="BD889" s="6"/>
      <c r="BE889" s="7"/>
      <c r="BF889" s="1"/>
      <c r="BG889" s="1"/>
    </row>
    <row r="890" spans="56:59" ht="15.75" customHeight="1" x14ac:dyDescent="0.25">
      <c r="BD890" s="6"/>
      <c r="BE890" s="7"/>
      <c r="BF890" s="1"/>
      <c r="BG890" s="1"/>
    </row>
    <row r="891" spans="56:59" ht="15.75" customHeight="1" x14ac:dyDescent="0.25">
      <c r="BD891" s="6"/>
      <c r="BE891" s="7"/>
      <c r="BF891" s="1"/>
      <c r="BG891" s="1"/>
    </row>
    <row r="892" spans="56:59" ht="15.75" customHeight="1" x14ac:dyDescent="0.25">
      <c r="BD892" s="6"/>
      <c r="BE892" s="7"/>
      <c r="BF892" s="1"/>
      <c r="BG892" s="1"/>
    </row>
    <row r="893" spans="56:59" ht="15.75" customHeight="1" x14ac:dyDescent="0.25">
      <c r="BD893" s="6"/>
      <c r="BE893" s="7"/>
      <c r="BF893" s="1"/>
      <c r="BG893" s="1"/>
    </row>
    <row r="894" spans="56:59" ht="15.75" customHeight="1" x14ac:dyDescent="0.25">
      <c r="BD894" s="6"/>
      <c r="BE894" s="7"/>
      <c r="BF894" s="1"/>
      <c r="BG894" s="1"/>
    </row>
    <row r="895" spans="56:59" ht="15.75" customHeight="1" x14ac:dyDescent="0.25">
      <c r="BD895" s="6"/>
      <c r="BE895" s="7"/>
      <c r="BF895" s="1"/>
      <c r="BG895" s="1"/>
    </row>
    <row r="896" spans="56:59" ht="15.75" customHeight="1" x14ac:dyDescent="0.25">
      <c r="BD896" s="6"/>
      <c r="BE896" s="7"/>
      <c r="BF896" s="1"/>
      <c r="BG896" s="1"/>
    </row>
    <row r="897" spans="56:59" ht="15.75" customHeight="1" x14ac:dyDescent="0.25">
      <c r="BD897" s="6"/>
      <c r="BE897" s="7"/>
      <c r="BF897" s="1"/>
      <c r="BG897" s="1"/>
    </row>
    <row r="898" spans="56:59" ht="15.75" customHeight="1" x14ac:dyDescent="0.25">
      <c r="BD898" s="6"/>
      <c r="BE898" s="7"/>
      <c r="BF898" s="1"/>
      <c r="BG898" s="1"/>
    </row>
    <row r="899" spans="56:59" ht="15.75" customHeight="1" x14ac:dyDescent="0.25">
      <c r="BD899" s="6"/>
      <c r="BE899" s="7"/>
      <c r="BF899" s="1"/>
      <c r="BG899" s="1"/>
    </row>
    <row r="900" spans="56:59" ht="15.75" customHeight="1" x14ac:dyDescent="0.25">
      <c r="BD900" s="6"/>
      <c r="BE900" s="7"/>
      <c r="BF900" s="1"/>
      <c r="BG900" s="1"/>
    </row>
    <row r="901" spans="56:59" ht="15.75" customHeight="1" x14ac:dyDescent="0.25">
      <c r="BD901" s="6"/>
      <c r="BE901" s="7"/>
      <c r="BF901" s="1"/>
      <c r="BG901" s="1"/>
    </row>
    <row r="902" spans="56:59" ht="15.75" customHeight="1" x14ac:dyDescent="0.25">
      <c r="BD902" s="6"/>
      <c r="BE902" s="7"/>
      <c r="BF902" s="1"/>
      <c r="BG902" s="1"/>
    </row>
    <row r="903" spans="56:59" ht="15.75" customHeight="1" x14ac:dyDescent="0.25">
      <c r="BD903" s="6"/>
      <c r="BE903" s="7"/>
      <c r="BF903" s="1"/>
      <c r="BG903" s="1"/>
    </row>
    <row r="904" spans="56:59" ht="15.75" customHeight="1" x14ac:dyDescent="0.25">
      <c r="BD904" s="6"/>
      <c r="BE904" s="7"/>
      <c r="BF904" s="1"/>
      <c r="BG904" s="1"/>
    </row>
    <row r="905" spans="56:59" ht="15.75" customHeight="1" x14ac:dyDescent="0.25">
      <c r="BD905" s="6"/>
      <c r="BE905" s="7"/>
      <c r="BF905" s="1"/>
      <c r="BG905" s="1"/>
    </row>
    <row r="906" spans="56:59" ht="15.75" customHeight="1" x14ac:dyDescent="0.25">
      <c r="BD906" s="6"/>
      <c r="BE906" s="7"/>
      <c r="BF906" s="1"/>
      <c r="BG906" s="1"/>
    </row>
    <row r="907" spans="56:59" ht="15.75" customHeight="1" x14ac:dyDescent="0.25">
      <c r="BD907" s="6"/>
      <c r="BE907" s="7"/>
      <c r="BF907" s="1"/>
      <c r="BG907" s="1"/>
    </row>
    <row r="908" spans="56:59" ht="15.75" customHeight="1" x14ac:dyDescent="0.25">
      <c r="BD908" s="6"/>
      <c r="BE908" s="7"/>
      <c r="BF908" s="1"/>
      <c r="BG908" s="1"/>
    </row>
    <row r="909" spans="56:59" ht="15.75" customHeight="1" x14ac:dyDescent="0.25">
      <c r="BD909" s="6"/>
      <c r="BE909" s="7"/>
      <c r="BF909" s="1"/>
      <c r="BG909" s="1"/>
    </row>
    <row r="910" spans="56:59" ht="15.75" customHeight="1" x14ac:dyDescent="0.25">
      <c r="BD910" s="6"/>
      <c r="BE910" s="7"/>
      <c r="BF910" s="1"/>
      <c r="BG910" s="1"/>
    </row>
    <row r="911" spans="56:59" ht="15.75" customHeight="1" x14ac:dyDescent="0.25">
      <c r="BD911" s="6"/>
      <c r="BE911" s="7"/>
      <c r="BF911" s="1"/>
      <c r="BG911" s="1"/>
    </row>
    <row r="912" spans="56:59" ht="15.75" customHeight="1" x14ac:dyDescent="0.25">
      <c r="BD912" s="6"/>
      <c r="BE912" s="7"/>
      <c r="BF912" s="1"/>
      <c r="BG912" s="1"/>
    </row>
    <row r="913" spans="56:59" ht="15.75" customHeight="1" x14ac:dyDescent="0.25">
      <c r="BD913" s="6"/>
      <c r="BE913" s="7"/>
      <c r="BF913" s="1"/>
      <c r="BG913" s="1"/>
    </row>
    <row r="914" spans="56:59" ht="15.75" customHeight="1" x14ac:dyDescent="0.25">
      <c r="BD914" s="6"/>
      <c r="BE914" s="7"/>
      <c r="BF914" s="1"/>
      <c r="BG914" s="1"/>
    </row>
    <row r="915" spans="56:59" ht="15.75" customHeight="1" x14ac:dyDescent="0.25">
      <c r="BD915" s="6"/>
      <c r="BE915" s="7"/>
      <c r="BF915" s="1"/>
      <c r="BG915" s="1"/>
    </row>
    <row r="916" spans="56:59" ht="15.75" customHeight="1" x14ac:dyDescent="0.25">
      <c r="BD916" s="6"/>
      <c r="BE916" s="7"/>
      <c r="BF916" s="1"/>
      <c r="BG916" s="1"/>
    </row>
    <row r="917" spans="56:59" ht="15.75" customHeight="1" x14ac:dyDescent="0.25">
      <c r="BD917" s="6"/>
      <c r="BE917" s="7"/>
      <c r="BF917" s="1"/>
      <c r="BG917" s="1"/>
    </row>
    <row r="918" spans="56:59" ht="15.75" customHeight="1" x14ac:dyDescent="0.25">
      <c r="BD918" s="6"/>
      <c r="BE918" s="7"/>
      <c r="BF918" s="1"/>
      <c r="BG918" s="1"/>
    </row>
    <row r="919" spans="56:59" ht="15.75" customHeight="1" x14ac:dyDescent="0.25">
      <c r="BD919" s="6"/>
      <c r="BE919" s="7"/>
      <c r="BF919" s="1"/>
      <c r="BG919" s="1"/>
    </row>
    <row r="920" spans="56:59" ht="15.75" customHeight="1" x14ac:dyDescent="0.25">
      <c r="BD920" s="6"/>
      <c r="BE920" s="7"/>
      <c r="BF920" s="1"/>
      <c r="BG920" s="1"/>
    </row>
    <row r="921" spans="56:59" ht="15.75" customHeight="1" x14ac:dyDescent="0.25">
      <c r="BD921" s="6"/>
      <c r="BE921" s="7"/>
      <c r="BF921" s="1"/>
      <c r="BG921" s="1"/>
    </row>
    <row r="922" spans="56:59" ht="15.75" customHeight="1" x14ac:dyDescent="0.25">
      <c r="BD922" s="6"/>
      <c r="BE922" s="7"/>
      <c r="BF922" s="1"/>
      <c r="BG922" s="1"/>
    </row>
    <row r="923" spans="56:59" ht="15.75" customHeight="1" x14ac:dyDescent="0.25">
      <c r="BD923" s="6"/>
      <c r="BE923" s="7"/>
      <c r="BF923" s="1"/>
      <c r="BG923" s="1"/>
    </row>
    <row r="924" spans="56:59" ht="15.75" customHeight="1" x14ac:dyDescent="0.25">
      <c r="BD924" s="6"/>
      <c r="BE924" s="7"/>
      <c r="BF924" s="1"/>
      <c r="BG924" s="1"/>
    </row>
    <row r="925" spans="56:59" ht="15.75" customHeight="1" x14ac:dyDescent="0.25">
      <c r="BD925" s="6"/>
      <c r="BE925" s="7"/>
      <c r="BF925" s="1"/>
      <c r="BG925" s="1"/>
    </row>
    <row r="926" spans="56:59" ht="15.75" customHeight="1" x14ac:dyDescent="0.25">
      <c r="BD926" s="6"/>
      <c r="BE926" s="7"/>
      <c r="BF926" s="1"/>
      <c r="BG926" s="1"/>
    </row>
    <row r="927" spans="56:59" ht="15.75" customHeight="1" x14ac:dyDescent="0.25">
      <c r="BD927" s="6"/>
      <c r="BE927" s="7"/>
      <c r="BF927" s="1"/>
      <c r="BG927" s="1"/>
    </row>
    <row r="928" spans="56:59" ht="15.75" customHeight="1" x14ac:dyDescent="0.25">
      <c r="BD928" s="6"/>
      <c r="BE928" s="7"/>
      <c r="BF928" s="1"/>
      <c r="BG928" s="1"/>
    </row>
    <row r="929" spans="56:59" ht="15.75" customHeight="1" x14ac:dyDescent="0.25">
      <c r="BD929" s="6"/>
      <c r="BE929" s="7"/>
      <c r="BF929" s="1"/>
      <c r="BG929" s="1"/>
    </row>
    <row r="930" spans="56:59" ht="15.75" customHeight="1" x14ac:dyDescent="0.25">
      <c r="BD930" s="6"/>
      <c r="BE930" s="7"/>
      <c r="BF930" s="1"/>
      <c r="BG930" s="1"/>
    </row>
    <row r="931" spans="56:59" ht="15.75" customHeight="1" x14ac:dyDescent="0.25">
      <c r="BD931" s="6"/>
      <c r="BE931" s="7"/>
      <c r="BF931" s="1"/>
      <c r="BG931" s="1"/>
    </row>
    <row r="932" spans="56:59" ht="15.75" customHeight="1" x14ac:dyDescent="0.25">
      <c r="BD932" s="6"/>
      <c r="BE932" s="7"/>
      <c r="BF932" s="1"/>
      <c r="BG932" s="1"/>
    </row>
    <row r="933" spans="56:59" ht="15.75" customHeight="1" x14ac:dyDescent="0.25">
      <c r="BD933" s="6"/>
      <c r="BE933" s="7"/>
      <c r="BF933" s="1"/>
      <c r="BG933" s="1"/>
    </row>
    <row r="934" spans="56:59" ht="15.75" customHeight="1" x14ac:dyDescent="0.25">
      <c r="BD934" s="6"/>
      <c r="BE934" s="7"/>
      <c r="BF934" s="1"/>
      <c r="BG934" s="1"/>
    </row>
    <row r="935" spans="56:59" ht="15.75" customHeight="1" x14ac:dyDescent="0.25">
      <c r="BD935" s="6"/>
      <c r="BE935" s="7"/>
      <c r="BF935" s="1"/>
      <c r="BG935" s="1"/>
    </row>
    <row r="936" spans="56:59" ht="15.75" customHeight="1" x14ac:dyDescent="0.25">
      <c r="BD936" s="6"/>
      <c r="BE936" s="7"/>
      <c r="BF936" s="1"/>
      <c r="BG936" s="1"/>
    </row>
    <row r="937" spans="56:59" ht="15.75" customHeight="1" x14ac:dyDescent="0.25">
      <c r="BD937" s="6"/>
      <c r="BE937" s="7"/>
      <c r="BF937" s="1"/>
      <c r="BG937" s="1"/>
    </row>
    <row r="938" spans="56:59" ht="15.75" customHeight="1" x14ac:dyDescent="0.25">
      <c r="BD938" s="6"/>
      <c r="BE938" s="7"/>
      <c r="BF938" s="1"/>
      <c r="BG938" s="1"/>
    </row>
    <row r="939" spans="56:59" ht="15.75" customHeight="1" x14ac:dyDescent="0.25">
      <c r="BD939" s="6"/>
      <c r="BE939" s="7"/>
      <c r="BF939" s="1"/>
      <c r="BG939" s="1"/>
    </row>
    <row r="940" spans="56:59" ht="15.75" customHeight="1" x14ac:dyDescent="0.25">
      <c r="BD940" s="6"/>
      <c r="BE940" s="7"/>
      <c r="BF940" s="1"/>
      <c r="BG940" s="1"/>
    </row>
    <row r="941" spans="56:59" ht="15.75" customHeight="1" x14ac:dyDescent="0.25">
      <c r="BD941" s="6"/>
      <c r="BE941" s="7"/>
      <c r="BF941" s="1"/>
      <c r="BG941" s="1"/>
    </row>
    <row r="942" spans="56:59" ht="15.75" customHeight="1" x14ac:dyDescent="0.25">
      <c r="BD942" s="6"/>
      <c r="BE942" s="7"/>
      <c r="BF942" s="1"/>
      <c r="BG942" s="1"/>
    </row>
    <row r="943" spans="56:59" ht="15.75" customHeight="1" x14ac:dyDescent="0.25">
      <c r="BD943" s="6"/>
      <c r="BE943" s="7"/>
      <c r="BF943" s="1"/>
      <c r="BG943" s="1"/>
    </row>
    <row r="944" spans="56:59" ht="15.75" customHeight="1" x14ac:dyDescent="0.25">
      <c r="BD944" s="6"/>
      <c r="BE944" s="7"/>
      <c r="BF944" s="1"/>
      <c r="BG944" s="1"/>
    </row>
    <row r="945" spans="56:59" ht="15.75" customHeight="1" x14ac:dyDescent="0.25">
      <c r="BD945" s="6"/>
      <c r="BE945" s="7"/>
      <c r="BF945" s="1"/>
      <c r="BG945" s="1"/>
    </row>
    <row r="946" spans="56:59" ht="15.75" customHeight="1" x14ac:dyDescent="0.25">
      <c r="BD946" s="6"/>
      <c r="BE946" s="7"/>
      <c r="BF946" s="1"/>
      <c r="BG946" s="1"/>
    </row>
    <row r="947" spans="56:59" ht="15.75" customHeight="1" x14ac:dyDescent="0.25">
      <c r="BD947" s="6"/>
      <c r="BE947" s="7"/>
      <c r="BF947" s="1"/>
      <c r="BG947" s="1"/>
    </row>
    <row r="948" spans="56:59" ht="15.75" customHeight="1" x14ac:dyDescent="0.25">
      <c r="BD948" s="6"/>
      <c r="BE948" s="7"/>
      <c r="BF948" s="1"/>
      <c r="BG948" s="1"/>
    </row>
    <row r="949" spans="56:59" ht="15.75" customHeight="1" x14ac:dyDescent="0.25">
      <c r="BD949" s="6"/>
      <c r="BE949" s="7"/>
      <c r="BF949" s="1"/>
      <c r="BG949" s="1"/>
    </row>
    <row r="950" spans="56:59" ht="15.75" customHeight="1" x14ac:dyDescent="0.25">
      <c r="BD950" s="6"/>
      <c r="BE950" s="7"/>
      <c r="BF950" s="1"/>
      <c r="BG950" s="1"/>
    </row>
    <row r="951" spans="56:59" ht="15.75" customHeight="1" x14ac:dyDescent="0.25">
      <c r="BD951" s="6"/>
      <c r="BE951" s="7"/>
      <c r="BF951" s="1"/>
      <c r="BG951" s="1"/>
    </row>
    <row r="952" spans="56:59" ht="15.75" customHeight="1" x14ac:dyDescent="0.25">
      <c r="BD952" s="6"/>
      <c r="BE952" s="7"/>
      <c r="BF952" s="1"/>
      <c r="BG952" s="1"/>
    </row>
    <row r="953" spans="56:59" ht="15.75" customHeight="1" x14ac:dyDescent="0.25">
      <c r="BD953" s="6"/>
      <c r="BE953" s="7"/>
      <c r="BF953" s="1"/>
      <c r="BG953" s="1"/>
    </row>
    <row r="954" spans="56:59" ht="15.75" customHeight="1" x14ac:dyDescent="0.25">
      <c r="BD954" s="6"/>
      <c r="BE954" s="7"/>
      <c r="BF954" s="1"/>
      <c r="BG954" s="1"/>
    </row>
    <row r="955" spans="56:59" ht="15.75" customHeight="1" x14ac:dyDescent="0.25">
      <c r="BD955" s="6"/>
      <c r="BE955" s="7"/>
      <c r="BF955" s="1"/>
      <c r="BG955" s="1"/>
    </row>
    <row r="956" spans="56:59" ht="15.75" customHeight="1" x14ac:dyDescent="0.25">
      <c r="BD956" s="6"/>
      <c r="BE956" s="7"/>
      <c r="BF956" s="1"/>
      <c r="BG956" s="1"/>
    </row>
    <row r="957" spans="56:59" ht="15.75" customHeight="1" x14ac:dyDescent="0.25">
      <c r="BD957" s="6"/>
      <c r="BE957" s="7"/>
      <c r="BF957" s="1"/>
      <c r="BG957" s="1"/>
    </row>
    <row r="958" spans="56:59" ht="15.75" customHeight="1" x14ac:dyDescent="0.25">
      <c r="BD958" s="6"/>
      <c r="BE958" s="7"/>
      <c r="BF958" s="1"/>
      <c r="BG958" s="1"/>
    </row>
    <row r="959" spans="56:59" ht="15.75" customHeight="1" x14ac:dyDescent="0.25">
      <c r="BD959" s="6"/>
      <c r="BE959" s="7"/>
      <c r="BF959" s="1"/>
      <c r="BG959" s="1"/>
    </row>
    <row r="960" spans="56:59" ht="15.75" customHeight="1" x14ac:dyDescent="0.25">
      <c r="BD960" s="6"/>
      <c r="BE960" s="7"/>
      <c r="BF960" s="1"/>
      <c r="BG960" s="1"/>
    </row>
    <row r="961" spans="56:59" ht="15.75" customHeight="1" x14ac:dyDescent="0.25">
      <c r="BD961" s="6"/>
      <c r="BE961" s="7"/>
      <c r="BF961" s="1"/>
      <c r="BG961" s="1"/>
    </row>
    <row r="962" spans="56:59" ht="15.75" customHeight="1" x14ac:dyDescent="0.25">
      <c r="BD962" s="6"/>
      <c r="BE962" s="7"/>
      <c r="BF962" s="1"/>
      <c r="BG962" s="1"/>
    </row>
    <row r="963" spans="56:59" ht="15.75" customHeight="1" x14ac:dyDescent="0.25">
      <c r="BD963" s="6"/>
      <c r="BE963" s="7"/>
      <c r="BF963" s="1"/>
      <c r="BG963" s="1"/>
    </row>
    <row r="964" spans="56:59" ht="15.75" customHeight="1" x14ac:dyDescent="0.25">
      <c r="BD964" s="6"/>
      <c r="BE964" s="7"/>
      <c r="BF964" s="1"/>
      <c r="BG964" s="1"/>
    </row>
    <row r="965" spans="56:59" ht="15.75" customHeight="1" x14ac:dyDescent="0.25">
      <c r="BD965" s="6"/>
      <c r="BE965" s="7"/>
      <c r="BF965" s="1"/>
      <c r="BG965" s="1"/>
    </row>
    <row r="966" spans="56:59" ht="15.75" customHeight="1" x14ac:dyDescent="0.25">
      <c r="BD966" s="6"/>
      <c r="BE966" s="7"/>
      <c r="BF966" s="1"/>
      <c r="BG966" s="1"/>
    </row>
    <row r="967" spans="56:59" ht="15.75" customHeight="1" x14ac:dyDescent="0.25">
      <c r="BD967" s="6"/>
      <c r="BE967" s="7"/>
      <c r="BF967" s="1"/>
      <c r="BG967" s="1"/>
    </row>
    <row r="968" spans="56:59" ht="15.75" customHeight="1" x14ac:dyDescent="0.25">
      <c r="BD968" s="6"/>
      <c r="BE968" s="7"/>
      <c r="BF968" s="1"/>
      <c r="BG968" s="1"/>
    </row>
    <row r="969" spans="56:59" ht="15.75" customHeight="1" x14ac:dyDescent="0.25">
      <c r="BD969" s="6"/>
      <c r="BE969" s="7"/>
      <c r="BF969" s="1"/>
      <c r="BG969" s="1"/>
    </row>
    <row r="970" spans="56:59" ht="15.75" customHeight="1" x14ac:dyDescent="0.25">
      <c r="BD970" s="6"/>
      <c r="BE970" s="7"/>
      <c r="BF970" s="1"/>
      <c r="BG970" s="1"/>
    </row>
    <row r="971" spans="56:59" ht="15.75" customHeight="1" x14ac:dyDescent="0.25">
      <c r="BD971" s="6"/>
      <c r="BE971" s="7"/>
      <c r="BF971" s="1"/>
      <c r="BG971" s="1"/>
    </row>
    <row r="972" spans="56:59" ht="15.75" customHeight="1" x14ac:dyDescent="0.25">
      <c r="BD972" s="6"/>
      <c r="BE972" s="7"/>
      <c r="BF972" s="1"/>
      <c r="BG972" s="1"/>
    </row>
    <row r="973" spans="56:59" ht="15.75" customHeight="1" x14ac:dyDescent="0.25">
      <c r="BD973" s="6"/>
      <c r="BE973" s="7"/>
      <c r="BF973" s="1"/>
      <c r="BG973" s="1"/>
    </row>
    <row r="974" spans="56:59" ht="15.75" customHeight="1" x14ac:dyDescent="0.25">
      <c r="BD974" s="6"/>
      <c r="BE974" s="7"/>
      <c r="BF974" s="1"/>
      <c r="BG974" s="1"/>
    </row>
    <row r="975" spans="56:59" ht="15.75" customHeight="1" x14ac:dyDescent="0.25">
      <c r="BD975" s="6"/>
      <c r="BE975" s="7"/>
      <c r="BF975" s="1"/>
      <c r="BG975" s="1"/>
    </row>
    <row r="976" spans="56:59" ht="15.75" customHeight="1" x14ac:dyDescent="0.25">
      <c r="BD976" s="6"/>
      <c r="BE976" s="7"/>
      <c r="BF976" s="1"/>
      <c r="BG976" s="1"/>
    </row>
    <row r="977" spans="56:59" ht="15.75" customHeight="1" x14ac:dyDescent="0.25">
      <c r="BD977" s="6"/>
      <c r="BE977" s="7"/>
      <c r="BF977" s="1"/>
      <c r="BG977" s="1"/>
    </row>
    <row r="978" spans="56:59" ht="15.75" customHeight="1" x14ac:dyDescent="0.25">
      <c r="BD978" s="6"/>
      <c r="BE978" s="7"/>
      <c r="BF978" s="1"/>
      <c r="BG978" s="1"/>
    </row>
    <row r="979" spans="56:59" ht="15.75" customHeight="1" x14ac:dyDescent="0.25">
      <c r="BD979" s="6"/>
      <c r="BE979" s="7"/>
      <c r="BF979" s="1"/>
      <c r="BG979" s="1"/>
    </row>
    <row r="980" spans="56:59" ht="15.75" customHeight="1" x14ac:dyDescent="0.25">
      <c r="BD980" s="6"/>
      <c r="BE980" s="7"/>
      <c r="BF980" s="1"/>
      <c r="BG980" s="1"/>
    </row>
    <row r="981" spans="56:59" ht="15.75" customHeight="1" x14ac:dyDescent="0.25">
      <c r="BD981" s="6"/>
      <c r="BE981" s="7"/>
      <c r="BF981" s="1"/>
      <c r="BG981" s="1"/>
    </row>
    <row r="982" spans="56:59" ht="15.75" customHeight="1" x14ac:dyDescent="0.25">
      <c r="BD982" s="6"/>
      <c r="BE982" s="7"/>
      <c r="BF982" s="1"/>
      <c r="BG982" s="1"/>
    </row>
    <row r="983" spans="56:59" ht="15.75" customHeight="1" x14ac:dyDescent="0.25">
      <c r="BD983" s="6"/>
      <c r="BE983" s="7"/>
      <c r="BF983" s="1"/>
      <c r="BG983" s="1"/>
    </row>
    <row r="984" spans="56:59" ht="15.75" customHeight="1" x14ac:dyDescent="0.25">
      <c r="BD984" s="6"/>
      <c r="BE984" s="7"/>
      <c r="BF984" s="1"/>
      <c r="BG984" s="1"/>
    </row>
    <row r="985" spans="56:59" ht="15.75" customHeight="1" x14ac:dyDescent="0.25">
      <c r="BD985" s="6"/>
      <c r="BE985" s="7"/>
      <c r="BF985" s="1"/>
      <c r="BG985" s="1"/>
    </row>
    <row r="986" spans="56:59" ht="15.75" customHeight="1" x14ac:dyDescent="0.25">
      <c r="BD986" s="6"/>
      <c r="BE986" s="7"/>
      <c r="BF986" s="1"/>
      <c r="BG986" s="1"/>
    </row>
    <row r="987" spans="56:59" ht="15.75" customHeight="1" x14ac:dyDescent="0.25">
      <c r="BD987" s="6"/>
      <c r="BE987" s="7"/>
      <c r="BF987" s="1"/>
      <c r="BG987" s="1"/>
    </row>
    <row r="988" spans="56:59" ht="15.75" customHeight="1" x14ac:dyDescent="0.25">
      <c r="BD988" s="6"/>
      <c r="BE988" s="7"/>
      <c r="BF988" s="1"/>
      <c r="BG988" s="1"/>
    </row>
    <row r="989" spans="56:59" ht="15.75" customHeight="1" x14ac:dyDescent="0.25">
      <c r="BD989" s="6"/>
      <c r="BE989" s="7"/>
      <c r="BF989" s="1"/>
      <c r="BG989" s="1"/>
    </row>
    <row r="990" spans="56:59" ht="15.75" customHeight="1" x14ac:dyDescent="0.25">
      <c r="BD990" s="6"/>
      <c r="BE990" s="7"/>
      <c r="BF990" s="1"/>
      <c r="BG990" s="1"/>
    </row>
    <row r="991" spans="56:59" ht="15.75" customHeight="1" x14ac:dyDescent="0.25">
      <c r="BD991" s="6"/>
      <c r="BE991" s="7"/>
      <c r="BF991" s="1"/>
      <c r="BG991" s="1"/>
    </row>
    <row r="992" spans="56:59" ht="15.75" customHeight="1" x14ac:dyDescent="0.25">
      <c r="BD992" s="6"/>
      <c r="BE992" s="7"/>
      <c r="BF992" s="1"/>
      <c r="BG992" s="1"/>
    </row>
    <row r="993" spans="56:59" ht="15.75" customHeight="1" x14ac:dyDescent="0.25">
      <c r="BD993" s="6"/>
      <c r="BE993" s="7"/>
      <c r="BF993" s="1"/>
      <c r="BG993" s="1"/>
    </row>
    <row r="994" spans="56:59" ht="15.75" customHeight="1" x14ac:dyDescent="0.25">
      <c r="BD994" s="6"/>
      <c r="BE994" s="7"/>
      <c r="BF994" s="1"/>
      <c r="BG994" s="1"/>
    </row>
    <row r="995" spans="56:59" ht="15.75" customHeight="1" x14ac:dyDescent="0.25">
      <c r="BD995" s="6"/>
      <c r="BE995" s="7"/>
      <c r="BF995" s="1"/>
      <c r="BG995" s="1"/>
    </row>
    <row r="996" spans="56:59" ht="15.75" customHeight="1" x14ac:dyDescent="0.25">
      <c r="BD996" s="6"/>
      <c r="BE996" s="7"/>
      <c r="BF996" s="1"/>
      <c r="BG996" s="1"/>
    </row>
    <row r="997" spans="56:59" ht="15.75" customHeight="1" x14ac:dyDescent="0.25">
      <c r="BD997" s="6"/>
      <c r="BE997" s="7"/>
      <c r="BF997" s="1"/>
      <c r="BG997" s="1"/>
    </row>
    <row r="998" spans="56:59" ht="15.75" customHeight="1" x14ac:dyDescent="0.25">
      <c r="BD998" s="6"/>
      <c r="BE998" s="7"/>
      <c r="BF998" s="1"/>
      <c r="BG998" s="1"/>
    </row>
    <row r="999" spans="56:59" ht="15.75" customHeight="1" x14ac:dyDescent="0.25">
      <c r="BD999" s="6"/>
      <c r="BE999" s="7"/>
      <c r="BF999" s="1"/>
      <c r="BG999" s="1"/>
    </row>
    <row r="1000" spans="56:59" ht="15.75" customHeight="1" x14ac:dyDescent="0.25">
      <c r="BD1000" s="6"/>
      <c r="BE1000" s="7"/>
      <c r="BF1000" s="1"/>
      <c r="BG1000" s="1"/>
    </row>
  </sheetData>
  <mergeCells count="5">
    <mergeCell ref="BM1:BX1"/>
    <mergeCell ref="BY1:CJ1"/>
    <mergeCell ref="CK1:CV1"/>
    <mergeCell ref="CW1:CX1"/>
    <mergeCell ref="DH1:DJ1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F1B71-2A2B-4FAF-B779-356CCCABB6F8}">
  <sheetPr>
    <pageSetUpPr fitToPage="1"/>
  </sheetPr>
  <dimension ref="A1:DL1000"/>
  <sheetViews>
    <sheetView topLeftCell="B1" workbookViewId="0"/>
  </sheetViews>
  <sheetFormatPr defaultColWidth="12.625" defaultRowHeight="15" customHeight="1" x14ac:dyDescent="0.2"/>
  <cols>
    <col min="1" max="1" width="29" hidden="1" customWidth="1"/>
    <col min="2" max="3" width="8" customWidth="1"/>
    <col min="4" max="4" width="45.625" customWidth="1"/>
    <col min="5" max="7" width="14.25" customWidth="1"/>
    <col min="8" max="16" width="14.25" hidden="1" customWidth="1"/>
    <col min="17" max="19" width="14.25" customWidth="1"/>
    <col min="20" max="41" width="14.25" hidden="1" customWidth="1"/>
    <col min="42" max="44" width="17.75" hidden="1" customWidth="1"/>
    <col min="45" max="46" width="15.25" hidden="1" customWidth="1"/>
    <col min="47" max="71" width="13.25" hidden="1" customWidth="1"/>
    <col min="72" max="72" width="13.625" hidden="1" customWidth="1"/>
    <col min="73" max="73" width="13.25" hidden="1" customWidth="1"/>
    <col min="74" max="74" width="13.375" hidden="1" customWidth="1"/>
    <col min="75" max="81" width="13.25" hidden="1" customWidth="1"/>
    <col min="82" max="83" width="12.875" hidden="1" customWidth="1"/>
    <col min="84" max="84" width="14.25" hidden="1" customWidth="1"/>
    <col min="85" max="86" width="12.875" hidden="1" customWidth="1"/>
    <col min="87" max="88" width="15.5" hidden="1" customWidth="1"/>
    <col min="89" max="94" width="13.75" hidden="1" customWidth="1"/>
    <col min="95" max="95" width="13" hidden="1" customWidth="1"/>
    <col min="96" max="97" width="13.25" hidden="1" customWidth="1"/>
    <col min="98" max="98" width="12" hidden="1" customWidth="1"/>
    <col min="99" max="99" width="9.5" hidden="1" customWidth="1"/>
    <col min="100" max="101" width="12.875" hidden="1" customWidth="1"/>
    <col min="102" max="102" width="10.5" hidden="1" customWidth="1"/>
    <col min="103" max="107" width="11.875" hidden="1" customWidth="1"/>
    <col min="108" max="108" width="12.5" hidden="1" customWidth="1"/>
    <col min="109" max="111" width="9.75" hidden="1" customWidth="1"/>
    <col min="112" max="113" width="7.75" customWidth="1"/>
    <col min="114" max="116" width="8" customWidth="1"/>
  </cols>
  <sheetData>
    <row r="1" spans="1:116" x14ac:dyDescent="0.25">
      <c r="A1" s="1" t="s">
        <v>0</v>
      </c>
      <c r="B1" s="1" t="s">
        <v>1</v>
      </c>
      <c r="E1" s="2"/>
      <c r="F1" s="2">
        <v>2023</v>
      </c>
      <c r="P1" s="17"/>
      <c r="Q1" s="78"/>
      <c r="R1" s="73">
        <v>2022</v>
      </c>
      <c r="T1" s="17"/>
      <c r="W1" s="17"/>
      <c r="AC1" s="72"/>
      <c r="AH1" s="67"/>
      <c r="AJ1" s="17"/>
      <c r="AK1" s="69"/>
      <c r="AO1" s="67">
        <v>2020</v>
      </c>
      <c r="AP1" s="13">
        <v>2020</v>
      </c>
      <c r="AT1" s="3"/>
      <c r="AU1" s="1"/>
      <c r="AX1" s="85"/>
      <c r="AZ1" s="30"/>
      <c r="BA1" s="99">
        <v>2019</v>
      </c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100">
        <v>2018</v>
      </c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1"/>
      <c r="BY1" s="102">
        <v>2017</v>
      </c>
      <c r="BZ1" s="99"/>
      <c r="CA1" s="99"/>
      <c r="CB1" s="99"/>
      <c r="CC1" s="99"/>
      <c r="CD1" s="99"/>
      <c r="CE1" s="99"/>
      <c r="CF1" s="99"/>
      <c r="CG1" s="99"/>
      <c r="CH1" s="99"/>
      <c r="CI1" s="99"/>
      <c r="CJ1" s="103"/>
      <c r="CK1" s="104"/>
      <c r="CL1" s="105"/>
      <c r="CM1" s="31"/>
      <c r="CN1" s="31"/>
      <c r="CO1" s="31"/>
      <c r="CP1" s="31"/>
      <c r="CQ1" s="31"/>
      <c r="CR1" s="86"/>
      <c r="CS1" s="87"/>
      <c r="CT1" s="87"/>
      <c r="CU1" s="87"/>
      <c r="CV1" s="104">
        <v>2015</v>
      </c>
      <c r="CW1" s="105"/>
      <c r="CX1" s="106"/>
      <c r="CY1" s="86"/>
      <c r="CZ1" s="32"/>
      <c r="DA1" s="87"/>
      <c r="DB1" s="87"/>
      <c r="DC1" s="86"/>
      <c r="DD1" s="86"/>
      <c r="DE1" s="86"/>
      <c r="DF1" s="86"/>
      <c r="DG1" s="87"/>
    </row>
    <row r="2" spans="1:116" x14ac:dyDescent="0.25">
      <c r="E2" s="4" t="s">
        <v>10</v>
      </c>
      <c r="F2" s="4" t="s">
        <v>11</v>
      </c>
      <c r="G2" s="4" t="s">
        <v>12</v>
      </c>
      <c r="H2" s="4" t="s">
        <v>13</v>
      </c>
      <c r="I2" s="4" t="s">
        <v>2</v>
      </c>
      <c r="J2" s="4" t="s">
        <v>3</v>
      </c>
      <c r="K2" s="4" t="s">
        <v>4</v>
      </c>
      <c r="L2" s="4" t="s">
        <v>5</v>
      </c>
      <c r="M2" s="4" t="s">
        <v>6</v>
      </c>
      <c r="N2" s="4" t="s">
        <v>7</v>
      </c>
      <c r="O2" s="4" t="s">
        <v>8</v>
      </c>
      <c r="P2" s="4" t="s">
        <v>9</v>
      </c>
      <c r="Q2" s="70" t="s">
        <v>10</v>
      </c>
      <c r="R2" s="4" t="s">
        <v>11</v>
      </c>
      <c r="S2" s="4" t="s">
        <v>12</v>
      </c>
      <c r="T2" s="4" t="s">
        <v>13</v>
      </c>
      <c r="U2" s="4" t="s">
        <v>2</v>
      </c>
      <c r="V2" s="4" t="s">
        <v>14</v>
      </c>
      <c r="W2" s="4" t="s">
        <v>15</v>
      </c>
      <c r="X2" s="4" t="s">
        <v>5</v>
      </c>
      <c r="Y2" s="4" t="s">
        <v>6</v>
      </c>
      <c r="Z2" s="4" t="s">
        <v>7</v>
      </c>
      <c r="AA2" s="4" t="s">
        <v>8</v>
      </c>
      <c r="AB2" s="4" t="s">
        <v>9</v>
      </c>
      <c r="AC2" s="4" t="s">
        <v>10</v>
      </c>
      <c r="AD2" s="4" t="s">
        <v>11</v>
      </c>
      <c r="AE2" s="4" t="s">
        <v>12</v>
      </c>
      <c r="AF2" s="4" t="s">
        <v>13</v>
      </c>
      <c r="AG2" s="4" t="s">
        <v>2</v>
      </c>
      <c r="AH2" s="5" t="s">
        <v>14</v>
      </c>
      <c r="AI2" s="5" t="s">
        <v>15</v>
      </c>
      <c r="AJ2" s="5" t="s">
        <v>5</v>
      </c>
      <c r="AK2" s="68" t="s">
        <v>16</v>
      </c>
      <c r="AL2" s="5" t="s">
        <v>17</v>
      </c>
      <c r="AM2" s="5" t="s">
        <v>18</v>
      </c>
      <c r="AN2" s="5" t="s">
        <v>19</v>
      </c>
      <c r="AO2" s="5" t="s">
        <v>20</v>
      </c>
      <c r="AP2" s="5" t="s">
        <v>21</v>
      </c>
      <c r="AQ2" s="5" t="s">
        <v>22</v>
      </c>
      <c r="AR2" s="4" t="s">
        <v>23</v>
      </c>
      <c r="AS2" s="4" t="s">
        <v>24</v>
      </c>
      <c r="AT2" s="5" t="s">
        <v>14</v>
      </c>
      <c r="AU2" s="5" t="s">
        <v>15</v>
      </c>
      <c r="AV2" s="5" t="s">
        <v>5</v>
      </c>
      <c r="AW2" s="34" t="s">
        <v>16</v>
      </c>
      <c r="AX2" s="5" t="s">
        <v>17</v>
      </c>
      <c r="AY2" s="5" t="s">
        <v>18</v>
      </c>
      <c r="AZ2" s="5" t="s">
        <v>19</v>
      </c>
      <c r="BA2" s="5" t="s">
        <v>20</v>
      </c>
      <c r="BB2" s="5" t="s">
        <v>21</v>
      </c>
      <c r="BC2" s="5" t="s">
        <v>22</v>
      </c>
      <c r="BD2" s="5" t="s">
        <v>23</v>
      </c>
      <c r="BE2" s="5" t="s">
        <v>24</v>
      </c>
      <c r="BF2" s="5" t="s">
        <v>14</v>
      </c>
      <c r="BG2" s="5" t="s">
        <v>15</v>
      </c>
      <c r="BH2" s="5" t="s">
        <v>5</v>
      </c>
      <c r="BI2" s="5" t="s">
        <v>16</v>
      </c>
      <c r="BJ2" s="5" t="s">
        <v>17</v>
      </c>
      <c r="BK2" s="5" t="s">
        <v>18</v>
      </c>
      <c r="BL2" s="5" t="s">
        <v>19</v>
      </c>
      <c r="BM2" s="5" t="s">
        <v>20</v>
      </c>
      <c r="BN2" s="5" t="s">
        <v>21</v>
      </c>
      <c r="BO2" s="5" t="s">
        <v>22</v>
      </c>
      <c r="BP2" s="5" t="s">
        <v>23</v>
      </c>
      <c r="BQ2" s="5" t="s">
        <v>24</v>
      </c>
      <c r="BR2" s="5" t="s">
        <v>14</v>
      </c>
      <c r="BS2" s="5" t="s">
        <v>15</v>
      </c>
      <c r="BT2" s="5" t="s">
        <v>5</v>
      </c>
      <c r="BU2" s="5" t="s">
        <v>16</v>
      </c>
      <c r="BV2" s="5" t="s">
        <v>17</v>
      </c>
      <c r="BW2" s="5" t="s">
        <v>18</v>
      </c>
      <c r="BX2" s="5" t="s">
        <v>19</v>
      </c>
      <c r="BY2" s="35" t="s">
        <v>20</v>
      </c>
      <c r="BZ2" s="35" t="s">
        <v>21</v>
      </c>
      <c r="CA2" s="35" t="s">
        <v>22</v>
      </c>
      <c r="CB2" s="35" t="s">
        <v>23</v>
      </c>
      <c r="CC2" s="35" t="s">
        <v>24</v>
      </c>
      <c r="CD2" s="35" t="s">
        <v>14</v>
      </c>
      <c r="CE2" s="35" t="s">
        <v>15</v>
      </c>
      <c r="CF2" s="35" t="s">
        <v>5</v>
      </c>
      <c r="CG2" s="35" t="s">
        <v>16</v>
      </c>
      <c r="CH2" s="35" t="s">
        <v>17</v>
      </c>
      <c r="CI2" s="35" t="s">
        <v>18</v>
      </c>
      <c r="CJ2" s="35" t="s">
        <v>19</v>
      </c>
      <c r="CK2" s="35" t="s">
        <v>21</v>
      </c>
      <c r="CL2" s="35" t="s">
        <v>22</v>
      </c>
      <c r="CM2" s="35" t="s">
        <v>23</v>
      </c>
      <c r="CN2" s="35" t="s">
        <v>24</v>
      </c>
      <c r="CO2" s="35" t="s">
        <v>14</v>
      </c>
      <c r="CP2" s="35" t="s">
        <v>15</v>
      </c>
      <c r="CQ2" s="35" t="s">
        <v>5</v>
      </c>
      <c r="CR2" s="35" t="s">
        <v>16</v>
      </c>
      <c r="CS2" s="35" t="s">
        <v>17</v>
      </c>
      <c r="CT2" s="35" t="s">
        <v>18</v>
      </c>
      <c r="CU2" s="35" t="s">
        <v>19</v>
      </c>
      <c r="CV2" s="35" t="s">
        <v>20</v>
      </c>
      <c r="CW2" s="35" t="s">
        <v>21</v>
      </c>
      <c r="CX2" s="35" t="s">
        <v>22</v>
      </c>
      <c r="CY2" s="35" t="s">
        <v>23</v>
      </c>
      <c r="CZ2" s="35" t="s">
        <v>24</v>
      </c>
      <c r="DA2" s="35" t="s">
        <v>14</v>
      </c>
      <c r="DB2" s="35" t="s">
        <v>15</v>
      </c>
      <c r="DC2" s="35" t="s">
        <v>5</v>
      </c>
      <c r="DD2" s="35" t="s">
        <v>16</v>
      </c>
      <c r="DE2" s="35" t="s">
        <v>17</v>
      </c>
      <c r="DF2" s="35" t="s">
        <v>18</v>
      </c>
      <c r="DG2" s="35" t="s">
        <v>19</v>
      </c>
    </row>
    <row r="3" spans="1:116" x14ac:dyDescent="0.25">
      <c r="A3" s="75" t="s">
        <v>25</v>
      </c>
      <c r="D3" s="1" t="s">
        <v>26</v>
      </c>
      <c r="E3" s="1">
        <f>302+16</f>
        <v>318</v>
      </c>
      <c r="F3" s="1">
        <f>302+17</f>
        <v>319</v>
      </c>
      <c r="G3" s="1">
        <f>303+17</f>
        <v>320</v>
      </c>
      <c r="H3" s="1">
        <f>307+17</f>
        <v>324</v>
      </c>
      <c r="I3" s="1">
        <f>309+17</f>
        <v>326</v>
      </c>
      <c r="J3" s="1">
        <f>307+17</f>
        <v>324</v>
      </c>
      <c r="K3" s="1">
        <f>310+17</f>
        <v>327</v>
      </c>
      <c r="L3" s="1">
        <f>317+17</f>
        <v>334</v>
      </c>
      <c r="M3" s="1">
        <f>324+17</f>
        <v>341</v>
      </c>
      <c r="N3" s="1">
        <f>324+17</f>
        <v>341</v>
      </c>
      <c r="O3" s="1">
        <f>324+17</f>
        <v>341</v>
      </c>
      <c r="P3" s="15">
        <f>325+17</f>
        <v>342</v>
      </c>
      <c r="Q3" s="21">
        <f>325+17</f>
        <v>342</v>
      </c>
      <c r="R3" s="15">
        <f>329+17</f>
        <v>346</v>
      </c>
      <c r="S3" s="15">
        <f>324+17</f>
        <v>341</v>
      </c>
      <c r="T3" s="15">
        <f>326+17</f>
        <v>343</v>
      </c>
      <c r="U3" s="15">
        <f>325+17</f>
        <v>342</v>
      </c>
      <c r="V3" s="15">
        <f>322+17</f>
        <v>339</v>
      </c>
      <c r="W3" s="15">
        <f>324+17</f>
        <v>341</v>
      </c>
      <c r="X3" s="15">
        <f>326+17</f>
        <v>343</v>
      </c>
      <c r="Y3" s="15">
        <f>325+17</f>
        <v>342</v>
      </c>
      <c r="Z3" s="15">
        <f>326+17</f>
        <v>343</v>
      </c>
      <c r="AA3" s="15">
        <f>335+17</f>
        <v>352</v>
      </c>
      <c r="AB3" s="15">
        <f>329+17</f>
        <v>346</v>
      </c>
      <c r="AC3" s="15">
        <f>336+17</f>
        <v>353</v>
      </c>
      <c r="AD3" s="15">
        <f>333+17</f>
        <v>350</v>
      </c>
      <c r="AE3" s="15">
        <f>338+17</f>
        <v>355</v>
      </c>
      <c r="AF3" s="15">
        <f>337+17</f>
        <v>354</v>
      </c>
      <c r="AG3" s="15">
        <f>327+17</f>
        <v>344</v>
      </c>
      <c r="AH3" s="15">
        <f>330+17</f>
        <v>347</v>
      </c>
      <c r="AI3" s="15">
        <f>332+17</f>
        <v>349</v>
      </c>
      <c r="AJ3" s="15">
        <f>330+17</f>
        <v>347</v>
      </c>
      <c r="AK3" s="15">
        <f>335+17</f>
        <v>352</v>
      </c>
      <c r="AL3" s="15">
        <f>330+17</f>
        <v>347</v>
      </c>
      <c r="AM3" s="15">
        <f>322+17</f>
        <v>339</v>
      </c>
      <c r="AN3" s="15">
        <f>317+17</f>
        <v>334</v>
      </c>
      <c r="AO3" s="15">
        <f>329+17</f>
        <v>346</v>
      </c>
      <c r="AP3" s="15">
        <f>320+17</f>
        <v>337</v>
      </c>
      <c r="AQ3" s="15">
        <f>323+17</f>
        <v>340</v>
      </c>
      <c r="AR3" s="15">
        <f>319+17</f>
        <v>336</v>
      </c>
      <c r="AS3" s="1">
        <f>325+17</f>
        <v>342</v>
      </c>
      <c r="AT3" s="1">
        <v>334</v>
      </c>
      <c r="AU3" s="1">
        <v>323</v>
      </c>
      <c r="AV3" s="1">
        <v>328</v>
      </c>
      <c r="AW3" s="37">
        <v>326</v>
      </c>
      <c r="AX3" s="1">
        <v>328</v>
      </c>
      <c r="AY3" s="1">
        <v>332</v>
      </c>
      <c r="AZ3" s="1">
        <v>349</v>
      </c>
      <c r="BA3" s="1">
        <v>360</v>
      </c>
      <c r="BB3" s="1">
        <v>360</v>
      </c>
      <c r="BC3" s="1">
        <v>363</v>
      </c>
      <c r="BD3" s="1">
        <v>371</v>
      </c>
      <c r="BE3" s="1">
        <v>378</v>
      </c>
      <c r="BF3" s="1">
        <v>374</v>
      </c>
      <c r="BG3" s="1">
        <v>375</v>
      </c>
      <c r="BH3" s="1">
        <v>376</v>
      </c>
      <c r="BI3" s="1">
        <v>383</v>
      </c>
      <c r="BJ3" s="1">
        <v>387</v>
      </c>
      <c r="BK3" s="1">
        <v>386</v>
      </c>
      <c r="BL3" s="1">
        <v>392</v>
      </c>
      <c r="BM3" s="1">
        <v>405</v>
      </c>
      <c r="BN3" s="1">
        <v>407</v>
      </c>
      <c r="BO3" s="1">
        <v>399</v>
      </c>
      <c r="BP3" s="1">
        <v>396</v>
      </c>
      <c r="BQ3" s="1">
        <v>396</v>
      </c>
      <c r="BR3" s="1">
        <v>397</v>
      </c>
      <c r="BS3" s="1">
        <v>400</v>
      </c>
      <c r="BT3" s="1">
        <v>395</v>
      </c>
      <c r="BU3" s="1">
        <v>387</v>
      </c>
      <c r="BV3" s="1">
        <v>385</v>
      </c>
      <c r="BW3" s="1">
        <v>392</v>
      </c>
      <c r="BX3" s="1">
        <v>397</v>
      </c>
      <c r="BY3" s="1">
        <v>418</v>
      </c>
      <c r="BZ3" s="1">
        <v>417</v>
      </c>
      <c r="CA3" s="1">
        <v>421</v>
      </c>
      <c r="CB3" s="1">
        <f>412+14</f>
        <v>426</v>
      </c>
      <c r="CC3" s="1">
        <v>417</v>
      </c>
      <c r="CD3" s="1">
        <v>424</v>
      </c>
      <c r="CE3" s="1">
        <v>424</v>
      </c>
      <c r="CF3" s="1">
        <v>420</v>
      </c>
      <c r="CG3" s="1">
        <v>420</v>
      </c>
      <c r="CH3" s="1">
        <v>423</v>
      </c>
      <c r="CI3" s="1">
        <f>404+13</f>
        <v>417</v>
      </c>
      <c r="CJ3" s="1">
        <v>421</v>
      </c>
      <c r="CK3" s="1">
        <v>451</v>
      </c>
      <c r="CL3" s="1">
        <f>433+13</f>
        <v>446</v>
      </c>
      <c r="CM3" s="1">
        <f>428+13</f>
        <v>441</v>
      </c>
      <c r="CN3" s="1">
        <v>439</v>
      </c>
      <c r="CO3" s="1">
        <v>431</v>
      </c>
      <c r="CP3" s="1">
        <v>440</v>
      </c>
      <c r="CQ3" s="1">
        <v>445</v>
      </c>
      <c r="CR3" s="1">
        <v>441</v>
      </c>
      <c r="CS3" s="1">
        <v>444</v>
      </c>
      <c r="CT3" s="1">
        <v>441</v>
      </c>
      <c r="CU3" s="1">
        <v>449</v>
      </c>
      <c r="CV3" s="1">
        <v>440</v>
      </c>
      <c r="CW3" s="1">
        <v>438</v>
      </c>
      <c r="CX3" s="1">
        <v>437</v>
      </c>
      <c r="CY3" s="1">
        <v>435</v>
      </c>
      <c r="CZ3" s="1">
        <v>433</v>
      </c>
      <c r="DA3" s="1">
        <v>432</v>
      </c>
      <c r="DB3" s="1">
        <v>430</v>
      </c>
      <c r="DC3" s="1">
        <v>428</v>
      </c>
      <c r="DD3" s="1">
        <v>430</v>
      </c>
      <c r="DE3" s="1">
        <v>426</v>
      </c>
      <c r="DF3" s="1">
        <v>428</v>
      </c>
      <c r="DG3" s="1">
        <v>439</v>
      </c>
    </row>
    <row r="4" spans="1:116" x14ac:dyDescent="0.25">
      <c r="A4" s="75" t="s">
        <v>27</v>
      </c>
      <c r="D4" s="1" t="s">
        <v>28</v>
      </c>
      <c r="E4" s="23">
        <f t="shared" ref="E4:N4" si="0">AVERAGE(E3:G3)</f>
        <v>319</v>
      </c>
      <c r="F4" s="23">
        <f t="shared" si="0"/>
        <v>321</v>
      </c>
      <c r="G4" s="23">
        <f t="shared" si="0"/>
        <v>323.33333333333331</v>
      </c>
      <c r="H4" s="23">
        <f t="shared" si="0"/>
        <v>324.66666666666669</v>
      </c>
      <c r="I4" s="23">
        <f t="shared" si="0"/>
        <v>325.66666666666669</v>
      </c>
      <c r="J4" s="23">
        <f t="shared" si="0"/>
        <v>328.33333333333331</v>
      </c>
      <c r="K4" s="23">
        <f t="shared" si="0"/>
        <v>334</v>
      </c>
      <c r="L4" s="23">
        <f t="shared" si="0"/>
        <v>338.66666666666669</v>
      </c>
      <c r="M4" s="23">
        <f t="shared" si="0"/>
        <v>341</v>
      </c>
      <c r="N4" s="23">
        <f t="shared" si="0"/>
        <v>341.33333333333331</v>
      </c>
      <c r="O4" s="23">
        <f>AVERAGE(O3:P3)</f>
        <v>341.5</v>
      </c>
      <c r="P4" s="39">
        <f>AVERAGE(P3:P3)</f>
        <v>342</v>
      </c>
      <c r="Q4" s="40">
        <f t="shared" ref="Q4:AE4" si="1">AVERAGE(Q3:T3)</f>
        <v>343</v>
      </c>
      <c r="R4" s="39">
        <f t="shared" si="1"/>
        <v>343</v>
      </c>
      <c r="S4" s="39">
        <f t="shared" si="1"/>
        <v>341.25</v>
      </c>
      <c r="T4" s="39">
        <f t="shared" si="1"/>
        <v>341.25</v>
      </c>
      <c r="U4" s="39">
        <f t="shared" si="1"/>
        <v>341.25</v>
      </c>
      <c r="V4" s="39">
        <f t="shared" si="1"/>
        <v>341.25</v>
      </c>
      <c r="W4" s="39">
        <f t="shared" si="1"/>
        <v>342.25</v>
      </c>
      <c r="X4" s="39">
        <f t="shared" si="1"/>
        <v>345</v>
      </c>
      <c r="Y4" s="39">
        <f t="shared" si="1"/>
        <v>345.75</v>
      </c>
      <c r="Z4" s="39">
        <f t="shared" si="1"/>
        <v>348.5</v>
      </c>
      <c r="AA4" s="39">
        <f t="shared" si="1"/>
        <v>350.25</v>
      </c>
      <c r="AB4" s="39">
        <f t="shared" si="1"/>
        <v>351</v>
      </c>
      <c r="AC4" s="39">
        <f t="shared" si="1"/>
        <v>353</v>
      </c>
      <c r="AD4" s="39">
        <f t="shared" si="1"/>
        <v>350.75</v>
      </c>
      <c r="AE4" s="39">
        <f t="shared" si="1"/>
        <v>350</v>
      </c>
      <c r="AF4" s="39">
        <f t="shared" ref="AF4:AK4" si="2">AVERAGE(AF3:AI3)</f>
        <v>348.5</v>
      </c>
      <c r="AG4" s="39">
        <f t="shared" si="2"/>
        <v>346.75</v>
      </c>
      <c r="AH4" s="39">
        <f t="shared" si="2"/>
        <v>348.75</v>
      </c>
      <c r="AI4" s="39">
        <f t="shared" si="2"/>
        <v>348.75</v>
      </c>
      <c r="AJ4" s="39">
        <f t="shared" si="2"/>
        <v>346.25</v>
      </c>
      <c r="AK4" s="39">
        <f t="shared" si="2"/>
        <v>343</v>
      </c>
      <c r="AL4" s="39">
        <f>AVERAGE(AL3:AN3)</f>
        <v>340</v>
      </c>
      <c r="AM4" s="39">
        <f>AVERAGE(AM3:AN3)</f>
        <v>336.5</v>
      </c>
      <c r="AN4" s="39">
        <f>AVERAGE(AN3)</f>
        <v>334</v>
      </c>
      <c r="AO4" s="39">
        <f t="shared" ref="AO4:AT4" si="3">AVERAGE(AO3:AU3)</f>
        <v>336.85714285714283</v>
      </c>
      <c r="AP4" s="39">
        <f t="shared" si="3"/>
        <v>334.28571428571428</v>
      </c>
      <c r="AQ4" s="39">
        <f t="shared" si="3"/>
        <v>332.71428571428572</v>
      </c>
      <c r="AR4" s="39">
        <f t="shared" si="3"/>
        <v>331</v>
      </c>
      <c r="AS4" s="39">
        <f t="shared" si="3"/>
        <v>330.42857142857144</v>
      </c>
      <c r="AT4" s="23">
        <f t="shared" si="3"/>
        <v>331.42857142857144</v>
      </c>
      <c r="AU4" s="23">
        <f>AVERAGE(AU3:AZ3)</f>
        <v>331</v>
      </c>
      <c r="AV4" s="23">
        <f>AVERAGE(AV3:AZ3)</f>
        <v>332.6</v>
      </c>
      <c r="AW4" s="41">
        <f>AVERAGE(AW3:AZ3)</f>
        <v>333.75</v>
      </c>
      <c r="AX4" s="23">
        <f>AVERAGE(AX3:AZ3)</f>
        <v>336.33333333333331</v>
      </c>
      <c r="AY4" s="23">
        <f>AVERAGE(AY3:AZ3)</f>
        <v>340.5</v>
      </c>
      <c r="AZ4" s="23">
        <f>AVERAGE(AZ3)</f>
        <v>349</v>
      </c>
      <c r="BA4" s="23">
        <f>AVERAGE(BA3:BL3)</f>
        <v>375.41666666666669</v>
      </c>
      <c r="BB4" s="23">
        <f>AVERAGE(BB3:BL3)</f>
        <v>376.81818181818181</v>
      </c>
      <c r="BC4" s="23">
        <f>AVERAGE(BC3:BL3)</f>
        <v>378.5</v>
      </c>
      <c r="BD4" s="23">
        <f>AVERAGE(BD3:BL3)</f>
        <v>380.22222222222223</v>
      </c>
      <c r="BE4" s="23">
        <f>AVERAGE(BE3:BL3)</f>
        <v>381.375</v>
      </c>
      <c r="BF4" s="23">
        <f>AVERAGE(BF3:BL3)</f>
        <v>381.85714285714283</v>
      </c>
      <c r="BG4" s="23">
        <f>AVERAGE(BG3:BL3)</f>
        <v>383.16666666666669</v>
      </c>
      <c r="BH4" s="23">
        <f>AVERAGE(BH3:BL3)</f>
        <v>384.8</v>
      </c>
      <c r="BI4" s="23">
        <f>AVERAGE(BI3:BL3)</f>
        <v>387</v>
      </c>
      <c r="BJ4" s="23">
        <f>AVERAGE(BJ3:BL3)</f>
        <v>388.33333333333331</v>
      </c>
      <c r="BK4" s="23">
        <f>AVERAGE(BK3:BL3)</f>
        <v>389</v>
      </c>
      <c r="BL4" s="23">
        <f>AVERAGE(BL3)</f>
        <v>392</v>
      </c>
      <c r="BM4" s="23">
        <f>AVERAGE(BM3:BX3)</f>
        <v>396.33333333333331</v>
      </c>
      <c r="BN4" s="23">
        <f>AVERAGE(BN3:BX3)</f>
        <v>395.54545454545456</v>
      </c>
      <c r="BO4" s="23">
        <f>AVERAGE(BO3:BX3)</f>
        <v>394.4</v>
      </c>
      <c r="BP4" s="23">
        <f>AVERAGE(BP3:BX3)</f>
        <v>393.88888888888891</v>
      </c>
      <c r="BQ4" s="23">
        <f>AVERAGE(BQ3:BX3)</f>
        <v>393.625</v>
      </c>
      <c r="BR4" s="23">
        <f>AVERAGE(BR3:BX3)</f>
        <v>393.28571428571428</v>
      </c>
      <c r="BS4" s="23">
        <f>AVERAGE(BS3:BX3)</f>
        <v>392.66666666666669</v>
      </c>
      <c r="BT4" s="23">
        <f>AVERAGE(BT3:BX3)</f>
        <v>391.2</v>
      </c>
      <c r="BU4" s="23">
        <f>AVERAGE(BU3:BX3)</f>
        <v>390.25</v>
      </c>
      <c r="BV4" s="23">
        <f>AVERAGE(BV3:BX3)</f>
        <v>391.33333333333331</v>
      </c>
      <c r="BW4" s="23">
        <f>AVERAGE(BW3:BX3)</f>
        <v>394.5</v>
      </c>
      <c r="BX4" s="23">
        <f>AVERAGE(BX3)</f>
        <v>397</v>
      </c>
      <c r="BY4" s="23">
        <f>AVERAGE(BY3:CJ3)</f>
        <v>420.66666666666669</v>
      </c>
      <c r="BZ4" s="23">
        <f>AVERAGE(BZ3:CJ3)</f>
        <v>420.90909090909093</v>
      </c>
      <c r="CA4" s="23">
        <f>AVERAGE(CA3:CJ3)</f>
        <v>421.3</v>
      </c>
      <c r="CB4" s="23">
        <f>AVERAGE(CB3:CJ3)</f>
        <v>421.33333333333331</v>
      </c>
      <c r="CC4" s="23">
        <f>AVERAGE(CC3:CJ3)</f>
        <v>420.75</v>
      </c>
      <c r="CD4" s="23">
        <f>AVERAGE(CD3:CJ3)</f>
        <v>421.28571428571428</v>
      </c>
      <c r="CE4" s="23">
        <f>AVERAGE(CE3:CJ3)</f>
        <v>420.83333333333331</v>
      </c>
      <c r="CF4" s="23">
        <f>AVERAGE(CF3:CJ3)</f>
        <v>420.2</v>
      </c>
      <c r="CG4" s="23">
        <f>AVERAGE(CG3:CJ3)</f>
        <v>420.25</v>
      </c>
      <c r="CH4" s="23">
        <f>AVERAGE(CH3:CJ3)</f>
        <v>420.33333333333331</v>
      </c>
      <c r="CI4" s="23">
        <f>AVERAGE(CI3:CJ3)</f>
        <v>419</v>
      </c>
      <c r="CJ4" s="23">
        <f>AVERAGE(CJ3)</f>
        <v>421</v>
      </c>
      <c r="CK4" s="23">
        <f>AVERAGE(CK3:CU3)</f>
        <v>442.54545454545456</v>
      </c>
      <c r="CL4" s="23">
        <f>AVERAGE(CL3:CU3)</f>
        <v>441.7</v>
      </c>
      <c r="CM4" s="23">
        <f>AVERAGE(CM3:CU3)</f>
        <v>441.22222222222223</v>
      </c>
      <c r="CN4" s="23">
        <f>AVERAGE(CN3:CU3)</f>
        <v>441.25</v>
      </c>
      <c r="CO4" s="23">
        <f>AVERAGE(CO3:CU3)</f>
        <v>441.57142857142856</v>
      </c>
      <c r="CP4" s="23">
        <f>AVERAGE(CP3:CU3)</f>
        <v>443.33333333333331</v>
      </c>
      <c r="CQ4" s="23">
        <f>AVERAGE(CQ3:CU3)</f>
        <v>444</v>
      </c>
      <c r="CR4" s="23">
        <f>AVERAGE(CR3:CU3)</f>
        <v>443.75</v>
      </c>
      <c r="CS4" s="23">
        <f>AVERAGE(CS3:CU3)</f>
        <v>444.66666666666669</v>
      </c>
      <c r="CT4" s="23">
        <f>AVERAGE(CT3:CU3)</f>
        <v>445</v>
      </c>
      <c r="CU4" s="23">
        <f>+CU3</f>
        <v>449</v>
      </c>
      <c r="CV4" s="23">
        <f>AVERAGE(CW3:DG3)</f>
        <v>432.36363636363637</v>
      </c>
      <c r="CW4" s="23">
        <f>AVERAGE(CW3:DG3)</f>
        <v>432.36363636363637</v>
      </c>
      <c r="CX4" s="23">
        <f>AVERAGE(CX3:DG3)</f>
        <v>431.8</v>
      </c>
      <c r="CY4" s="23">
        <f>AVERAGE(CY3:DG3)</f>
        <v>431.22222222222223</v>
      </c>
      <c r="CZ4" s="23">
        <f>AVERAGE(CZ3:DG3)</f>
        <v>430.75</v>
      </c>
      <c r="DA4" s="23">
        <f>AVERAGE(DA3:DG3)</f>
        <v>430.42857142857144</v>
      </c>
      <c r="DB4" s="23">
        <f>AVERAGE(DB3:DG3)</f>
        <v>430.16666666666669</v>
      </c>
      <c r="DC4" s="23">
        <f>AVERAGE(DC3:DG3)</f>
        <v>430.2</v>
      </c>
      <c r="DD4" s="23">
        <f>AVERAGE(DD3:DG3)</f>
        <v>430.75</v>
      </c>
      <c r="DE4" s="23">
        <f t="shared" ref="DE4:DF4" si="4">AVERAGE(DE3:DF3)</f>
        <v>427</v>
      </c>
      <c r="DF4" s="23">
        <f t="shared" si="4"/>
        <v>433.5</v>
      </c>
      <c r="DG4" s="1">
        <f>+DG3</f>
        <v>439</v>
      </c>
      <c r="DI4" s="17"/>
    </row>
    <row r="5" spans="1:116" x14ac:dyDescent="0.25">
      <c r="A5" s="1" t="s">
        <v>55</v>
      </c>
      <c r="D5" s="1" t="s">
        <v>30</v>
      </c>
      <c r="E5" s="1">
        <v>407</v>
      </c>
      <c r="F5" s="1">
        <v>407</v>
      </c>
      <c r="G5" s="1">
        <v>407</v>
      </c>
      <c r="H5" s="1">
        <v>407</v>
      </c>
      <c r="I5" s="1">
        <v>407</v>
      </c>
      <c r="J5" s="1">
        <v>407</v>
      </c>
      <c r="K5" s="1">
        <v>407</v>
      </c>
      <c r="L5" s="1">
        <v>407</v>
      </c>
      <c r="M5" s="1">
        <v>407</v>
      </c>
      <c r="N5" s="1">
        <v>407</v>
      </c>
      <c r="O5" s="1">
        <v>407</v>
      </c>
      <c r="P5" s="15">
        <v>407</v>
      </c>
      <c r="Q5" s="21">
        <v>382</v>
      </c>
      <c r="R5" s="15">
        <v>382</v>
      </c>
      <c r="S5" s="15">
        <v>382</v>
      </c>
      <c r="T5" s="15">
        <v>382</v>
      </c>
      <c r="U5" s="15">
        <v>382</v>
      </c>
      <c r="V5" s="15">
        <v>382</v>
      </c>
      <c r="W5" s="15">
        <v>382</v>
      </c>
      <c r="X5" s="15">
        <v>382</v>
      </c>
      <c r="Y5" s="15">
        <v>382</v>
      </c>
      <c r="Z5" s="15">
        <v>382</v>
      </c>
      <c r="AA5" s="15">
        <v>382</v>
      </c>
      <c r="AB5" s="15">
        <v>382</v>
      </c>
      <c r="AC5" s="15">
        <v>382</v>
      </c>
      <c r="AD5" s="15">
        <v>382</v>
      </c>
      <c r="AE5" s="15">
        <v>382</v>
      </c>
      <c r="AF5" s="15">
        <v>382</v>
      </c>
      <c r="AG5" s="15">
        <v>382</v>
      </c>
      <c r="AH5" s="17">
        <v>382</v>
      </c>
      <c r="AI5" s="15">
        <v>382</v>
      </c>
      <c r="AJ5" s="15">
        <v>382</v>
      </c>
      <c r="AK5" s="15">
        <v>382</v>
      </c>
      <c r="AL5" s="15">
        <v>382</v>
      </c>
      <c r="AM5" s="15">
        <v>382</v>
      </c>
      <c r="AN5" s="15">
        <v>382</v>
      </c>
      <c r="AO5" s="15">
        <v>363</v>
      </c>
      <c r="AP5" s="15">
        <v>363</v>
      </c>
      <c r="AQ5" s="15">
        <v>363</v>
      </c>
      <c r="AR5" s="14">
        <v>363</v>
      </c>
      <c r="AS5" s="16">
        <v>363</v>
      </c>
      <c r="AT5" s="1">
        <v>363</v>
      </c>
      <c r="AU5" s="1">
        <v>363</v>
      </c>
      <c r="AV5" s="1">
        <v>363</v>
      </c>
      <c r="AW5" s="37">
        <v>363</v>
      </c>
      <c r="AX5" s="1">
        <v>363</v>
      </c>
      <c r="AY5" s="1">
        <v>363</v>
      </c>
      <c r="AZ5" s="1">
        <v>363</v>
      </c>
      <c r="BA5" s="1">
        <v>415</v>
      </c>
      <c r="BB5" s="1">
        <v>415</v>
      </c>
      <c r="BC5" s="1">
        <v>415</v>
      </c>
      <c r="BD5" s="1">
        <v>415</v>
      </c>
      <c r="BE5" s="1">
        <v>415</v>
      </c>
      <c r="BF5" s="1">
        <v>415</v>
      </c>
      <c r="BG5" s="1">
        <v>415</v>
      </c>
      <c r="BH5" s="1">
        <v>415</v>
      </c>
      <c r="BI5" s="1">
        <v>415</v>
      </c>
      <c r="BJ5" s="1">
        <v>415</v>
      </c>
      <c r="BK5" s="1">
        <v>415</v>
      </c>
      <c r="BL5" s="1">
        <v>415</v>
      </c>
      <c r="BM5" s="1">
        <v>415</v>
      </c>
      <c r="BN5" s="1">
        <v>415</v>
      </c>
      <c r="BO5" s="1">
        <v>415</v>
      </c>
      <c r="BP5" s="1">
        <v>415</v>
      </c>
      <c r="BQ5" s="1">
        <v>415</v>
      </c>
      <c r="BR5" s="1">
        <v>415</v>
      </c>
      <c r="BS5" s="1">
        <v>415</v>
      </c>
      <c r="BT5" s="1">
        <v>415</v>
      </c>
      <c r="BU5" s="1">
        <v>415</v>
      </c>
      <c r="BV5" s="1">
        <v>415</v>
      </c>
      <c r="BW5" s="1">
        <v>415</v>
      </c>
      <c r="BX5" s="1">
        <v>415</v>
      </c>
      <c r="BY5" s="1">
        <v>445</v>
      </c>
      <c r="BZ5" s="1">
        <v>445</v>
      </c>
      <c r="CA5" s="1">
        <v>445</v>
      </c>
      <c r="CB5" s="1">
        <v>445</v>
      </c>
      <c r="CC5" s="1">
        <v>445</v>
      </c>
      <c r="CD5" s="1">
        <v>445</v>
      </c>
      <c r="CE5" s="1">
        <v>445</v>
      </c>
      <c r="CF5" s="1">
        <v>445</v>
      </c>
      <c r="CG5" s="1">
        <v>445</v>
      </c>
      <c r="CH5" s="1">
        <v>445</v>
      </c>
      <c r="CI5" s="1">
        <v>445</v>
      </c>
      <c r="CJ5" s="1">
        <v>445</v>
      </c>
      <c r="CK5" s="1">
        <v>461</v>
      </c>
      <c r="CL5" s="1">
        <v>461</v>
      </c>
      <c r="CM5" s="1">
        <v>461</v>
      </c>
      <c r="CN5" s="1">
        <v>461</v>
      </c>
      <c r="CO5" s="1">
        <v>461</v>
      </c>
      <c r="CP5" s="1">
        <v>461</v>
      </c>
      <c r="CQ5" s="1">
        <v>461</v>
      </c>
      <c r="CR5" s="1">
        <v>461</v>
      </c>
      <c r="CS5" s="1">
        <v>461</v>
      </c>
      <c r="CT5" s="1">
        <v>461</v>
      </c>
      <c r="CU5" s="1">
        <v>461</v>
      </c>
      <c r="CV5" s="1">
        <v>460</v>
      </c>
      <c r="CW5" s="1">
        <v>460</v>
      </c>
      <c r="CX5" s="1">
        <v>460</v>
      </c>
      <c r="CY5" s="1">
        <v>460</v>
      </c>
      <c r="CZ5" s="1">
        <v>460</v>
      </c>
      <c r="DA5" s="1">
        <v>460</v>
      </c>
      <c r="DB5" s="1">
        <v>460</v>
      </c>
      <c r="DC5" s="1">
        <v>460</v>
      </c>
      <c r="DD5" s="1">
        <v>460</v>
      </c>
      <c r="DE5" s="1">
        <v>460</v>
      </c>
      <c r="DF5" s="1">
        <v>460</v>
      </c>
      <c r="DG5" s="1">
        <v>460</v>
      </c>
      <c r="DH5" s="17"/>
      <c r="DI5" s="17"/>
      <c r="DJ5" s="17"/>
    </row>
    <row r="6" spans="1:116" x14ac:dyDescent="0.25">
      <c r="A6" s="1" t="s">
        <v>31</v>
      </c>
      <c r="D6" s="1" t="s">
        <v>32</v>
      </c>
      <c r="E6" s="23">
        <f t="shared" ref="E6:F6" si="5">+E4-E5</f>
        <v>-88</v>
      </c>
      <c r="F6" s="23">
        <f t="shared" si="5"/>
        <v>-86</v>
      </c>
      <c r="G6" s="23">
        <f t="shared" ref="G6:H6" si="6">+G4-G5</f>
        <v>-83.666666666666686</v>
      </c>
      <c r="H6" s="23">
        <f t="shared" si="6"/>
        <v>-82.333333333333314</v>
      </c>
      <c r="I6" s="23">
        <f t="shared" ref="I6:J6" si="7">+I4-I5</f>
        <v>-81.333333333333314</v>
      </c>
      <c r="J6" s="23">
        <f t="shared" si="7"/>
        <v>-78.666666666666686</v>
      </c>
      <c r="K6" s="23">
        <f t="shared" ref="K6:L6" si="8">+K4-K5</f>
        <v>-73</v>
      </c>
      <c r="L6" s="23">
        <f t="shared" si="8"/>
        <v>-68.333333333333314</v>
      </c>
      <c r="M6" s="23">
        <f t="shared" ref="M6:N6" si="9">+M4-M5</f>
        <v>-66</v>
      </c>
      <c r="N6" s="23">
        <f t="shared" si="9"/>
        <v>-65.666666666666686</v>
      </c>
      <c r="O6" s="23">
        <f t="shared" ref="O6:P6" si="10">+O4-O5</f>
        <v>-65.5</v>
      </c>
      <c r="P6" s="39">
        <f t="shared" si="10"/>
        <v>-65</v>
      </c>
      <c r="Q6" s="40">
        <f t="shared" ref="Q6:CB6" si="11">+Q4-Q5</f>
        <v>-39</v>
      </c>
      <c r="R6" s="39">
        <f t="shared" si="11"/>
        <v>-39</v>
      </c>
      <c r="S6" s="39">
        <f t="shared" si="11"/>
        <v>-40.75</v>
      </c>
      <c r="T6" s="39">
        <f t="shared" si="11"/>
        <v>-40.75</v>
      </c>
      <c r="U6" s="39">
        <f t="shared" si="11"/>
        <v>-40.75</v>
      </c>
      <c r="V6" s="39">
        <f t="shared" si="11"/>
        <v>-40.75</v>
      </c>
      <c r="W6" s="39">
        <f t="shared" si="11"/>
        <v>-39.75</v>
      </c>
      <c r="X6" s="39">
        <f t="shared" si="11"/>
        <v>-37</v>
      </c>
      <c r="Y6" s="39">
        <f t="shared" si="11"/>
        <v>-36.25</v>
      </c>
      <c r="Z6" s="39">
        <f t="shared" si="11"/>
        <v>-33.5</v>
      </c>
      <c r="AA6" s="39">
        <f t="shared" si="11"/>
        <v>-31.75</v>
      </c>
      <c r="AB6" s="39">
        <f t="shared" si="11"/>
        <v>-31</v>
      </c>
      <c r="AC6" s="39">
        <f t="shared" si="11"/>
        <v>-29</v>
      </c>
      <c r="AD6" s="39">
        <f t="shared" si="11"/>
        <v>-31.25</v>
      </c>
      <c r="AE6" s="39">
        <f t="shared" si="11"/>
        <v>-32</v>
      </c>
      <c r="AF6" s="39">
        <f t="shared" si="11"/>
        <v>-33.5</v>
      </c>
      <c r="AG6" s="39">
        <f t="shared" si="11"/>
        <v>-35.25</v>
      </c>
      <c r="AH6" s="39">
        <f t="shared" si="11"/>
        <v>-33.25</v>
      </c>
      <c r="AI6" s="39">
        <f t="shared" si="11"/>
        <v>-33.25</v>
      </c>
      <c r="AJ6" s="39">
        <f t="shared" si="11"/>
        <v>-35.75</v>
      </c>
      <c r="AK6" s="39">
        <f t="shared" si="11"/>
        <v>-39</v>
      </c>
      <c r="AL6" s="39">
        <f t="shared" si="11"/>
        <v>-42</v>
      </c>
      <c r="AM6" s="39">
        <f t="shared" si="11"/>
        <v>-45.5</v>
      </c>
      <c r="AN6" s="39">
        <f t="shared" si="11"/>
        <v>-48</v>
      </c>
      <c r="AO6" s="39">
        <f t="shared" si="11"/>
        <v>-26.142857142857167</v>
      </c>
      <c r="AP6" s="39">
        <f t="shared" si="11"/>
        <v>-28.714285714285722</v>
      </c>
      <c r="AQ6" s="39">
        <f t="shared" si="11"/>
        <v>-30.285714285714278</v>
      </c>
      <c r="AR6" s="39">
        <f t="shared" si="11"/>
        <v>-32</v>
      </c>
      <c r="AS6" s="39">
        <f t="shared" si="11"/>
        <v>-32.571428571428555</v>
      </c>
      <c r="AT6" s="23">
        <f t="shared" si="11"/>
        <v>-31.571428571428555</v>
      </c>
      <c r="AU6" s="23">
        <f t="shared" si="11"/>
        <v>-32</v>
      </c>
      <c r="AV6" s="23">
        <f t="shared" si="11"/>
        <v>-30.399999999999977</v>
      </c>
      <c r="AW6" s="41">
        <f t="shared" si="11"/>
        <v>-29.25</v>
      </c>
      <c r="AX6" s="23">
        <f t="shared" si="11"/>
        <v>-26.666666666666686</v>
      </c>
      <c r="AY6" s="23">
        <f t="shared" si="11"/>
        <v>-22.5</v>
      </c>
      <c r="AZ6" s="23">
        <f t="shared" si="11"/>
        <v>-14</v>
      </c>
      <c r="BA6" s="23">
        <f t="shared" si="11"/>
        <v>-39.583333333333314</v>
      </c>
      <c r="BB6" s="23">
        <f t="shared" si="11"/>
        <v>-38.181818181818187</v>
      </c>
      <c r="BC6" s="23">
        <f t="shared" si="11"/>
        <v>-36.5</v>
      </c>
      <c r="BD6" s="23">
        <f t="shared" si="11"/>
        <v>-34.777777777777771</v>
      </c>
      <c r="BE6" s="23">
        <f t="shared" si="11"/>
        <v>-33.625</v>
      </c>
      <c r="BF6" s="23">
        <f t="shared" si="11"/>
        <v>-33.142857142857167</v>
      </c>
      <c r="BG6" s="23">
        <f t="shared" si="11"/>
        <v>-31.833333333333314</v>
      </c>
      <c r="BH6" s="23">
        <f t="shared" si="11"/>
        <v>-30.199999999999989</v>
      </c>
      <c r="BI6" s="23">
        <f t="shared" si="11"/>
        <v>-28</v>
      </c>
      <c r="BJ6" s="23">
        <f t="shared" si="11"/>
        <v>-26.666666666666686</v>
      </c>
      <c r="BK6" s="23">
        <f t="shared" si="11"/>
        <v>-26</v>
      </c>
      <c r="BL6" s="23">
        <f t="shared" si="11"/>
        <v>-23</v>
      </c>
      <c r="BM6" s="23">
        <f t="shared" si="11"/>
        <v>-18.666666666666686</v>
      </c>
      <c r="BN6" s="23">
        <f t="shared" si="11"/>
        <v>-19.454545454545439</v>
      </c>
      <c r="BO6" s="23">
        <f t="shared" si="11"/>
        <v>-20.600000000000023</v>
      </c>
      <c r="BP6" s="23">
        <f t="shared" si="11"/>
        <v>-21.111111111111086</v>
      </c>
      <c r="BQ6" s="23">
        <f t="shared" si="11"/>
        <v>-21.375</v>
      </c>
      <c r="BR6" s="23">
        <f t="shared" si="11"/>
        <v>-21.714285714285722</v>
      </c>
      <c r="BS6" s="23">
        <f t="shared" si="11"/>
        <v>-22.333333333333314</v>
      </c>
      <c r="BT6" s="23">
        <f t="shared" si="11"/>
        <v>-23.800000000000011</v>
      </c>
      <c r="BU6" s="23">
        <f t="shared" si="11"/>
        <v>-24.75</v>
      </c>
      <c r="BV6" s="23">
        <f t="shared" si="11"/>
        <v>-23.666666666666686</v>
      </c>
      <c r="BW6" s="23">
        <f t="shared" si="11"/>
        <v>-20.5</v>
      </c>
      <c r="BX6" s="23">
        <f t="shared" si="11"/>
        <v>-18</v>
      </c>
      <c r="BY6" s="23">
        <f t="shared" si="11"/>
        <v>-24.333333333333314</v>
      </c>
      <c r="BZ6" s="23">
        <f t="shared" si="11"/>
        <v>-24.090909090909065</v>
      </c>
      <c r="CA6" s="23">
        <f t="shared" si="11"/>
        <v>-23.699999999999989</v>
      </c>
      <c r="CB6" s="23">
        <f t="shared" si="11"/>
        <v>-23.666666666666686</v>
      </c>
      <c r="CC6" s="23">
        <f t="shared" ref="CC6:DG6" si="12">+CC4-CC5</f>
        <v>-24.25</v>
      </c>
      <c r="CD6" s="23">
        <f t="shared" si="12"/>
        <v>-23.714285714285722</v>
      </c>
      <c r="CE6" s="23">
        <f t="shared" si="12"/>
        <v>-24.166666666666686</v>
      </c>
      <c r="CF6" s="23">
        <f t="shared" si="12"/>
        <v>-24.800000000000011</v>
      </c>
      <c r="CG6" s="23">
        <f t="shared" si="12"/>
        <v>-24.75</v>
      </c>
      <c r="CH6" s="23">
        <f t="shared" si="12"/>
        <v>-24.666666666666686</v>
      </c>
      <c r="CI6" s="23">
        <f t="shared" si="12"/>
        <v>-26</v>
      </c>
      <c r="CJ6" s="23">
        <f t="shared" si="12"/>
        <v>-24</v>
      </c>
      <c r="CK6" s="23">
        <f t="shared" si="12"/>
        <v>-18.454545454545439</v>
      </c>
      <c r="CL6" s="23">
        <f t="shared" si="12"/>
        <v>-19.300000000000011</v>
      </c>
      <c r="CM6" s="23">
        <f t="shared" si="12"/>
        <v>-19.777777777777771</v>
      </c>
      <c r="CN6" s="23">
        <f t="shared" si="12"/>
        <v>-19.75</v>
      </c>
      <c r="CO6" s="23">
        <f t="shared" si="12"/>
        <v>-19.428571428571445</v>
      </c>
      <c r="CP6" s="23">
        <f t="shared" si="12"/>
        <v>-17.666666666666686</v>
      </c>
      <c r="CQ6" s="23">
        <f t="shared" si="12"/>
        <v>-17</v>
      </c>
      <c r="CR6" s="23">
        <f t="shared" si="12"/>
        <v>-17.25</v>
      </c>
      <c r="CS6" s="23">
        <f t="shared" si="12"/>
        <v>-16.333333333333314</v>
      </c>
      <c r="CT6" s="23">
        <f t="shared" si="12"/>
        <v>-16</v>
      </c>
      <c r="CU6" s="23">
        <f t="shared" si="12"/>
        <v>-12</v>
      </c>
      <c r="CV6" s="23">
        <f t="shared" si="12"/>
        <v>-27.636363636363626</v>
      </c>
      <c r="CW6" s="23">
        <f t="shared" si="12"/>
        <v>-27.636363636363626</v>
      </c>
      <c r="CX6" s="23">
        <f t="shared" si="12"/>
        <v>-28.199999999999989</v>
      </c>
      <c r="CY6" s="23">
        <f t="shared" si="12"/>
        <v>-28.777777777777771</v>
      </c>
      <c r="CZ6" s="23">
        <f t="shared" si="12"/>
        <v>-29.25</v>
      </c>
      <c r="DA6" s="23">
        <f t="shared" si="12"/>
        <v>-29.571428571428555</v>
      </c>
      <c r="DB6" s="23">
        <f t="shared" si="12"/>
        <v>-29.833333333333314</v>
      </c>
      <c r="DC6" s="23">
        <f t="shared" si="12"/>
        <v>-29.800000000000011</v>
      </c>
      <c r="DD6" s="23">
        <f t="shared" si="12"/>
        <v>-29.25</v>
      </c>
      <c r="DE6" s="23">
        <f t="shared" si="12"/>
        <v>-33</v>
      </c>
      <c r="DF6" s="23">
        <f t="shared" si="12"/>
        <v>-26.5</v>
      </c>
      <c r="DG6" s="23">
        <f t="shared" si="12"/>
        <v>-21</v>
      </c>
      <c r="DI6" s="17"/>
    </row>
    <row r="7" spans="1:116" x14ac:dyDescent="0.25">
      <c r="A7" s="1" t="s">
        <v>33</v>
      </c>
      <c r="D7" s="1" t="s">
        <v>34</v>
      </c>
      <c r="E7" s="24">
        <f t="shared" ref="E7:P7" si="13">+E6*218</f>
        <v>-19184</v>
      </c>
      <c r="F7" s="24">
        <f t="shared" si="13"/>
        <v>-18748</v>
      </c>
      <c r="G7" s="24">
        <f t="shared" si="13"/>
        <v>-18239.333333333336</v>
      </c>
      <c r="H7" s="24">
        <f t="shared" si="13"/>
        <v>-17948.666666666664</v>
      </c>
      <c r="I7" s="24">
        <f t="shared" si="13"/>
        <v>-17730.666666666664</v>
      </c>
      <c r="J7" s="24">
        <f t="shared" si="13"/>
        <v>-17149.333333333336</v>
      </c>
      <c r="K7" s="24">
        <f t="shared" si="13"/>
        <v>-15914</v>
      </c>
      <c r="L7" s="24">
        <f t="shared" si="13"/>
        <v>-14896.666666666662</v>
      </c>
      <c r="M7" s="24">
        <f t="shared" si="13"/>
        <v>-14388</v>
      </c>
      <c r="N7" s="24">
        <f t="shared" si="13"/>
        <v>-14315.333333333338</v>
      </c>
      <c r="O7" s="24">
        <f t="shared" si="13"/>
        <v>-14279</v>
      </c>
      <c r="P7" s="24">
        <f t="shared" si="13"/>
        <v>-14170</v>
      </c>
      <c r="Q7" s="65">
        <f>+Q6*192</f>
        <v>-7488</v>
      </c>
      <c r="R7" s="24">
        <f t="shared" ref="R7:BL7" si="14">+R6*192</f>
        <v>-7488</v>
      </c>
      <c r="S7" s="77">
        <f t="shared" si="14"/>
        <v>-7824</v>
      </c>
      <c r="T7" s="24">
        <f t="shared" si="14"/>
        <v>-7824</v>
      </c>
      <c r="U7" s="24">
        <f t="shared" si="14"/>
        <v>-7824</v>
      </c>
      <c r="V7" s="24">
        <f t="shared" si="14"/>
        <v>-7824</v>
      </c>
      <c r="W7" s="24">
        <f t="shared" si="14"/>
        <v>-7632</v>
      </c>
      <c r="X7" s="24">
        <f t="shared" si="14"/>
        <v>-7104</v>
      </c>
      <c r="Y7" s="24">
        <f t="shared" si="14"/>
        <v>-6960</v>
      </c>
      <c r="Z7" s="24">
        <f t="shared" si="14"/>
        <v>-6432</v>
      </c>
      <c r="AA7" s="24">
        <f t="shared" si="14"/>
        <v>-6096</v>
      </c>
      <c r="AB7" s="24">
        <f t="shared" si="14"/>
        <v>-5952</v>
      </c>
      <c r="AC7" s="24">
        <f t="shared" si="14"/>
        <v>-5568</v>
      </c>
      <c r="AD7" s="24">
        <f t="shared" si="14"/>
        <v>-6000</v>
      </c>
      <c r="AE7" s="24">
        <f t="shared" si="14"/>
        <v>-6144</v>
      </c>
      <c r="AF7" s="24">
        <f t="shared" si="14"/>
        <v>-6432</v>
      </c>
      <c r="AG7" s="24">
        <f t="shared" si="14"/>
        <v>-6768</v>
      </c>
      <c r="AH7" s="24">
        <f t="shared" si="14"/>
        <v>-6384</v>
      </c>
      <c r="AI7" s="24">
        <f t="shared" si="14"/>
        <v>-6384</v>
      </c>
      <c r="AJ7" s="24">
        <f t="shared" si="14"/>
        <v>-6864</v>
      </c>
      <c r="AK7" s="24">
        <f t="shared" si="14"/>
        <v>-7488</v>
      </c>
      <c r="AL7" s="24">
        <f t="shared" si="14"/>
        <v>-8064</v>
      </c>
      <c r="AM7" s="24">
        <f t="shared" si="14"/>
        <v>-8736</v>
      </c>
      <c r="AN7" s="24">
        <f t="shared" si="14"/>
        <v>-9216</v>
      </c>
      <c r="AO7" s="24">
        <f t="shared" si="14"/>
        <v>-5019.4285714285761</v>
      </c>
      <c r="AP7" s="24">
        <f t="shared" si="14"/>
        <v>-5513.1428571428587</v>
      </c>
      <c r="AQ7" s="24">
        <f t="shared" si="14"/>
        <v>-5814.8571428571413</v>
      </c>
      <c r="AR7" s="24">
        <f t="shared" si="14"/>
        <v>-6144</v>
      </c>
      <c r="AS7" s="24">
        <f t="shared" si="14"/>
        <v>-6253.7142857142826</v>
      </c>
      <c r="AT7" s="42">
        <f t="shared" si="14"/>
        <v>-6061.7142857142826</v>
      </c>
      <c r="AU7" s="24">
        <f t="shared" si="14"/>
        <v>-6144</v>
      </c>
      <c r="AV7" s="24">
        <f t="shared" si="14"/>
        <v>-5836.7999999999956</v>
      </c>
      <c r="AW7" s="43">
        <f t="shared" si="14"/>
        <v>-5616</v>
      </c>
      <c r="AX7" s="24">
        <f t="shared" si="14"/>
        <v>-5120.0000000000036</v>
      </c>
      <c r="AY7" s="24">
        <f t="shared" si="14"/>
        <v>-4320</v>
      </c>
      <c r="AZ7" s="24">
        <f t="shared" si="14"/>
        <v>-2688</v>
      </c>
      <c r="BA7" s="24">
        <f t="shared" si="14"/>
        <v>-7599.9999999999964</v>
      </c>
      <c r="BB7" s="24">
        <f t="shared" si="14"/>
        <v>-7330.9090909090919</v>
      </c>
      <c r="BC7" s="24">
        <f t="shared" si="14"/>
        <v>-7008</v>
      </c>
      <c r="BD7" s="24">
        <f t="shared" si="14"/>
        <v>-6677.3333333333321</v>
      </c>
      <c r="BE7" s="24">
        <f t="shared" si="14"/>
        <v>-6456</v>
      </c>
      <c r="BF7" s="24">
        <f t="shared" si="14"/>
        <v>-6363.4285714285761</v>
      </c>
      <c r="BG7" s="24">
        <f t="shared" si="14"/>
        <v>-6111.9999999999964</v>
      </c>
      <c r="BH7" s="24">
        <f t="shared" si="14"/>
        <v>-5798.3999999999978</v>
      </c>
      <c r="BI7" s="24">
        <f t="shared" si="14"/>
        <v>-5376</v>
      </c>
      <c r="BJ7" s="24">
        <f t="shared" si="14"/>
        <v>-5120.0000000000036</v>
      </c>
      <c r="BK7" s="24">
        <f t="shared" si="14"/>
        <v>-4992</v>
      </c>
      <c r="BL7" s="24">
        <f t="shared" si="14"/>
        <v>-4416</v>
      </c>
      <c r="BM7" s="24">
        <f t="shared" ref="BM7:DG7" si="15">+BM6*168</f>
        <v>-3136.0000000000032</v>
      </c>
      <c r="BN7" s="24">
        <f t="shared" si="15"/>
        <v>-3268.3636363636338</v>
      </c>
      <c r="BO7" s="24">
        <f t="shared" si="15"/>
        <v>-3460.8000000000038</v>
      </c>
      <c r="BP7" s="24">
        <f t="shared" si="15"/>
        <v>-3546.6666666666624</v>
      </c>
      <c r="BQ7" s="24">
        <f t="shared" si="15"/>
        <v>-3591</v>
      </c>
      <c r="BR7" s="24">
        <f t="shared" si="15"/>
        <v>-3648.0000000000014</v>
      </c>
      <c r="BS7" s="24">
        <f t="shared" si="15"/>
        <v>-3751.9999999999968</v>
      </c>
      <c r="BT7" s="24">
        <f t="shared" si="15"/>
        <v>-3998.4000000000019</v>
      </c>
      <c r="BU7" s="24">
        <f t="shared" si="15"/>
        <v>-4158</v>
      </c>
      <c r="BV7" s="24">
        <f t="shared" si="15"/>
        <v>-3976.0000000000032</v>
      </c>
      <c r="BW7" s="24">
        <f t="shared" si="15"/>
        <v>-3444</v>
      </c>
      <c r="BX7" s="24">
        <f t="shared" si="15"/>
        <v>-3024</v>
      </c>
      <c r="BY7" s="24">
        <f t="shared" si="15"/>
        <v>-4087.9999999999968</v>
      </c>
      <c r="BZ7" s="24">
        <f t="shared" si="15"/>
        <v>-4047.2727272727229</v>
      </c>
      <c r="CA7" s="24">
        <f t="shared" si="15"/>
        <v>-3981.5999999999981</v>
      </c>
      <c r="CB7" s="24">
        <f t="shared" si="15"/>
        <v>-3976.0000000000032</v>
      </c>
      <c r="CC7" s="24">
        <f t="shared" si="15"/>
        <v>-4074</v>
      </c>
      <c r="CD7" s="24">
        <f t="shared" si="15"/>
        <v>-3984.0000000000014</v>
      </c>
      <c r="CE7" s="24">
        <f t="shared" si="15"/>
        <v>-4060.0000000000032</v>
      </c>
      <c r="CF7" s="24">
        <f t="shared" si="15"/>
        <v>-4166.4000000000015</v>
      </c>
      <c r="CG7" s="24">
        <f t="shared" si="15"/>
        <v>-4158</v>
      </c>
      <c r="CH7" s="24">
        <f t="shared" si="15"/>
        <v>-4144.0000000000036</v>
      </c>
      <c r="CI7" s="24">
        <f t="shared" si="15"/>
        <v>-4368</v>
      </c>
      <c r="CJ7" s="24">
        <f t="shared" si="15"/>
        <v>-4032</v>
      </c>
      <c r="CK7" s="24">
        <f t="shared" si="15"/>
        <v>-3100.3636363636338</v>
      </c>
      <c r="CL7" s="24">
        <f t="shared" si="15"/>
        <v>-3242.4000000000019</v>
      </c>
      <c r="CM7" s="24">
        <f t="shared" si="15"/>
        <v>-3322.6666666666656</v>
      </c>
      <c r="CN7" s="24">
        <f t="shared" si="15"/>
        <v>-3318</v>
      </c>
      <c r="CO7" s="24">
        <f t="shared" si="15"/>
        <v>-3264.0000000000027</v>
      </c>
      <c r="CP7" s="24">
        <f t="shared" si="15"/>
        <v>-2968.0000000000032</v>
      </c>
      <c r="CQ7" s="24">
        <f t="shared" si="15"/>
        <v>-2856</v>
      </c>
      <c r="CR7" s="24">
        <f t="shared" si="15"/>
        <v>-2898</v>
      </c>
      <c r="CS7" s="24">
        <f t="shared" si="15"/>
        <v>-2743.9999999999968</v>
      </c>
      <c r="CT7" s="24">
        <f t="shared" si="15"/>
        <v>-2688</v>
      </c>
      <c r="CU7" s="24">
        <f t="shared" si="15"/>
        <v>-2016</v>
      </c>
      <c r="CV7" s="24">
        <f t="shared" si="15"/>
        <v>-4642.9090909090892</v>
      </c>
      <c r="CW7" s="24">
        <f t="shared" si="15"/>
        <v>-4642.9090909090892</v>
      </c>
      <c r="CX7" s="24">
        <f t="shared" si="15"/>
        <v>-4737.5999999999985</v>
      </c>
      <c r="CY7" s="24">
        <f t="shared" si="15"/>
        <v>-4834.6666666666661</v>
      </c>
      <c r="CZ7" s="24">
        <f t="shared" si="15"/>
        <v>-4914</v>
      </c>
      <c r="DA7" s="24">
        <f t="shared" si="15"/>
        <v>-4967.9999999999973</v>
      </c>
      <c r="DB7" s="24">
        <f t="shared" si="15"/>
        <v>-5011.9999999999964</v>
      </c>
      <c r="DC7" s="24">
        <f t="shared" si="15"/>
        <v>-5006.4000000000015</v>
      </c>
      <c r="DD7" s="24">
        <f t="shared" si="15"/>
        <v>-4914</v>
      </c>
      <c r="DE7" s="24">
        <f t="shared" si="15"/>
        <v>-5544</v>
      </c>
      <c r="DF7" s="24">
        <f t="shared" si="15"/>
        <v>-4452</v>
      </c>
      <c r="DG7" s="24">
        <f t="shared" si="15"/>
        <v>-3528</v>
      </c>
    </row>
    <row r="8" spans="1:116" x14ac:dyDescent="0.25"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5"/>
      <c r="Q8" s="21"/>
      <c r="R8" s="15"/>
      <c r="S8" s="76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7"/>
      <c r="AI8" s="17"/>
      <c r="AJ8" s="17"/>
      <c r="AK8" s="17"/>
      <c r="AL8" s="15"/>
      <c r="AM8" s="17"/>
      <c r="AN8" s="17"/>
      <c r="AO8" s="17"/>
      <c r="AP8" s="17"/>
      <c r="AQ8" s="17"/>
      <c r="AR8" s="14"/>
      <c r="AS8" s="16"/>
      <c r="AT8" s="1"/>
      <c r="AU8" s="1"/>
      <c r="AW8" s="37"/>
    </row>
    <row r="9" spans="1:116" x14ac:dyDescent="0.25">
      <c r="A9" s="75" t="s">
        <v>35</v>
      </c>
      <c r="D9" s="1" t="s">
        <v>36</v>
      </c>
      <c r="E9" s="25">
        <f>127418.29-53683.65-17825-19732</f>
        <v>36177.639999999985</v>
      </c>
      <c r="F9" s="25">
        <f>123459.28-53347.65-17825-19299</f>
        <v>32987.630000000005</v>
      </c>
      <c r="G9" s="25">
        <f>118135.48-53147.8-17775-15915</f>
        <v>31297.679999999993</v>
      </c>
      <c r="H9" s="25">
        <f>111887.73-52857.13-17637.5-15915</f>
        <v>25478.1</v>
      </c>
      <c r="I9" s="25">
        <f>102504.29-52112.29-17300-15915</f>
        <v>17176.999999999993</v>
      </c>
      <c r="J9" s="25">
        <f>98487.9-50604.45-16787.5-15915</f>
        <v>15180.949999999997</v>
      </c>
      <c r="K9" s="25">
        <f>94632.81-49150.51-15875-15915</f>
        <v>13692.299999999996</v>
      </c>
      <c r="L9" s="25">
        <f>90361.96-47565.34-15162.5-15915</f>
        <v>11719.12000000001</v>
      </c>
      <c r="M9" s="25">
        <f>86769.41-46166.51-15012.5-15915</f>
        <v>9675.4000000000015</v>
      </c>
      <c r="N9" s="25">
        <f>71976.42-43278.01-13987.5-6780</f>
        <v>7930.9099999999962</v>
      </c>
      <c r="O9" s="25">
        <f>58914.62-40800.35-13637.5-0</f>
        <v>4476.7700000000041</v>
      </c>
      <c r="P9" s="45">
        <f>51255.27-36316.34-12312.5-0</f>
        <v>2626.4300000000003</v>
      </c>
      <c r="Q9" s="46">
        <f>135440.58-60129.91-22537.5-25554</f>
        <v>27219.169999999984</v>
      </c>
      <c r="R9" s="45">
        <f>133657.88-59937.91-22387.5-25401</f>
        <v>25931.47</v>
      </c>
      <c r="S9" s="45">
        <f>126840.28-59745.91-22362.5-19677</f>
        <v>25054.869999999995</v>
      </c>
      <c r="T9" s="45">
        <f>123744.26-59345.91-22262.5-19377</f>
        <v>22758.849999999991</v>
      </c>
      <c r="U9" s="45">
        <f>96019.13-46916.5-10512.5-19377</f>
        <v>19213.130000000005</v>
      </c>
      <c r="V9" s="45">
        <f>93685.95-46596.5-10512.5-19377</f>
        <v>17199.949999999997</v>
      </c>
      <c r="W9" s="45">
        <f>87917.28-42980.5-10512.5-19377</f>
        <v>15047.279999999999</v>
      </c>
      <c r="X9" s="45">
        <f>85737.49-42756.5-10362.5-19377</f>
        <v>13241.490000000005</v>
      </c>
      <c r="Y9" s="45">
        <f>82602.49-40579.33-10362.5-20038</f>
        <v>11622.660000000003</v>
      </c>
      <c r="Z9" s="45">
        <f>64948.22-40195.33-10362.5-6194</f>
        <v>8196.39</v>
      </c>
      <c r="AA9" s="45">
        <f>56574.79-40065.83-10362.5-0</f>
        <v>6146.4599999999991</v>
      </c>
      <c r="AB9" s="45">
        <f>53110.31-39662.17-10212.5-0</f>
        <v>3235.6399999999994</v>
      </c>
      <c r="AC9" s="45">
        <f>140839.18-61188.17-22112.5-17209.5</f>
        <v>40329.009999999995</v>
      </c>
      <c r="AD9" s="45">
        <f>135643.29-59956.17-21925-16803.5</f>
        <v>36958.62000000001</v>
      </c>
      <c r="AE9" s="45">
        <f>129605.21-59860.17-21925-13399.5</f>
        <v>34420.540000000008</v>
      </c>
      <c r="AF9" s="45">
        <f>120415.64-59284.17-21787.5-12949.5</f>
        <v>26394.47</v>
      </c>
      <c r="AG9" s="45">
        <f>113827.9-58674.67-21437.5-12949.5</f>
        <v>20766.229999999996</v>
      </c>
      <c r="AH9" s="45">
        <f>109455.3-57938.67-21212.5-12949.5</f>
        <v>17354.630000000005</v>
      </c>
      <c r="AI9" s="45">
        <f>104933.41-56738.67-20262.5-12949.5</f>
        <v>14982.740000000005</v>
      </c>
      <c r="AJ9" s="45">
        <f>101048.75-55378.67-19662.5-12949.5</f>
        <v>13058.080000000002</v>
      </c>
      <c r="AK9" s="45">
        <f>95806.56-54098.67-18887.5-13014</f>
        <v>9806.39</v>
      </c>
      <c r="AL9" s="45">
        <f>81144.43-52498.67-18150-2073</f>
        <v>8422.7599999999948</v>
      </c>
      <c r="AM9" s="45">
        <f>69786.97-48718.17-16912.5-0</f>
        <v>4156.3000000000029</v>
      </c>
      <c r="AN9" s="45">
        <f>55961.81-42379.83-11800-0</f>
        <v>1781.9799999999959</v>
      </c>
      <c r="AO9" s="45">
        <f>138799.03-64867.67-21912.5-17986</f>
        <v>34032.86</v>
      </c>
      <c r="AP9" s="45">
        <f>133534.81-64755.67-21537.5-16564</f>
        <v>30677.64</v>
      </c>
      <c r="AQ9" s="45">
        <f>126103.4-64323.67-21412.5-11643</f>
        <v>28724.229999999996</v>
      </c>
      <c r="AR9" s="45">
        <f>118942.92-63907.67-21262.5-10851</f>
        <v>22921.75</v>
      </c>
      <c r="AS9" s="45">
        <f>112645.56-63250.17-21062.5-10851</f>
        <v>17481.89</v>
      </c>
      <c r="AT9" s="25">
        <f>105714.78-61650.17-20562.5-10851</f>
        <v>12651.11</v>
      </c>
      <c r="AU9" s="25">
        <f>(101207.39-59922.17-20000-10851)</f>
        <v>10434.220000000001</v>
      </c>
      <c r="AV9" s="25">
        <f>(96736.21-58194.17-18837.5-10851)</f>
        <v>8853.5400000000081</v>
      </c>
      <c r="AW9" s="47">
        <f>(90616.76-55874.17-18237.5 -9511)</f>
        <v>6994.0899999999965</v>
      </c>
      <c r="AX9" s="25">
        <f>(85270.86-52956.17-17575-9298)</f>
        <v>5441.6900000000023</v>
      </c>
      <c r="AY9" s="25">
        <f>(78275.58-49836.17-16250-8497)</f>
        <v>3692.4100000000035</v>
      </c>
      <c r="AZ9" s="25">
        <f>(67368.02-45912.67-14975-3559)</f>
        <v>2921.3500000000058</v>
      </c>
      <c r="BA9" s="25">
        <f>(137306.14-67877.92-20200-30214)</f>
        <v>19014.220000000016</v>
      </c>
      <c r="BB9" s="25">
        <f>(136448.28-67877.92-20200-30114)</f>
        <v>18256.36</v>
      </c>
      <c r="BC9" s="25">
        <f>(134507.89-67669.92-20125-30114)</f>
        <v>16598.970000000016</v>
      </c>
      <c r="BD9" s="25">
        <f>(132419.84-67269.92-20000-30114)</f>
        <v>15035.919999999998</v>
      </c>
      <c r="BE9" s="25">
        <f>(130087.57-66753.17-19687.5-30114)</f>
        <v>13532.900000000009</v>
      </c>
      <c r="BF9" s="25">
        <f>(127052.36-65745.17-19381.63-30114)</f>
        <v>11811.559999999998</v>
      </c>
      <c r="BG9" s="25">
        <f>(123915.64-30114-18875-64465.17)</f>
        <v>10461.470000000001</v>
      </c>
      <c r="BH9" s="25">
        <f>(119400.68-30114-17675-62689.17)</f>
        <v>8922.5099999999948</v>
      </c>
      <c r="BI9" s="25">
        <f>(115089.98-30114-16637.5-60369.17)</f>
        <v>7969.3099999999977</v>
      </c>
      <c r="BJ9" s="25">
        <f>(104401.99-24697-15950-57627.17)</f>
        <v>6127.820000000007</v>
      </c>
      <c r="BK9" s="25">
        <f>(77385.8-5317-14845.47-52892.33)</f>
        <v>4331</v>
      </c>
      <c r="BL9" s="25">
        <f>(62340.33-13675-46824.33)</f>
        <v>1841</v>
      </c>
      <c r="BM9" s="25">
        <f>(154801.49-68573.91-39133-19800)</f>
        <v>27294.579999999987</v>
      </c>
      <c r="BN9" s="25">
        <f>(153315.22-68538.91-39133-19950)</f>
        <v>25693.309999999998</v>
      </c>
      <c r="BO9" s="25">
        <f>(151296.12-68272.91-39133-19762.5)</f>
        <v>24127.709999999992</v>
      </c>
      <c r="BP9" s="25">
        <f>(147112.31-67824.91-39133-19550)</f>
        <v>20604.399999999994</v>
      </c>
      <c r="BQ9" s="25">
        <f>(142407.77-39133-66893.91-19387.5)</f>
        <v>16993.359999999986</v>
      </c>
      <c r="BR9" s="25">
        <f>(139856.59-39133-66263.91-19062.5)</f>
        <v>15397.179999999993</v>
      </c>
      <c r="BS9" s="25">
        <f>(136007.43-39133-64842.16-18587.5)</f>
        <v>13444.76999999999</v>
      </c>
      <c r="BT9" s="25">
        <f>(131771.28-63099-39133-17437.5)</f>
        <v>12101.779999999999</v>
      </c>
      <c r="BU9" s="25">
        <f>(125494.11-39091-60656.16-16737.5)</f>
        <v>9009.4499999999971</v>
      </c>
      <c r="BV9" s="25">
        <f>(111292.57-57086.5-15950-31766)</f>
        <v>6490.070000000007</v>
      </c>
      <c r="BW9" s="25">
        <f>(80242.26-8204-15400-52420.59)</f>
        <v>4217.6699999999983</v>
      </c>
      <c r="BX9" s="25">
        <f>(64009.71-13787.5-47447.59)</f>
        <v>2774.6200000000026</v>
      </c>
      <c r="BY9" s="8">
        <v>31472.04</v>
      </c>
      <c r="BZ9" s="8">
        <v>30311.14</v>
      </c>
      <c r="CA9" s="8">
        <v>28557.37</v>
      </c>
      <c r="CB9" s="8">
        <v>27103.56</v>
      </c>
      <c r="CC9" s="8">
        <v>24629.8</v>
      </c>
      <c r="CD9" s="48">
        <f>152288.03-70003.48-19432.5-39847</f>
        <v>23005.050000000003</v>
      </c>
      <c r="CE9" s="48">
        <f>147875.59-39847-68561.48-18545</f>
        <v>20922.11</v>
      </c>
      <c r="CF9" s="48">
        <f>137852.19-67063.48-17420-36040</f>
        <v>17328.710000000006</v>
      </c>
      <c r="CG9" s="48">
        <f>127375.56-29573-65297.23-17057.5</f>
        <v>15447.829999999994</v>
      </c>
      <c r="CH9" s="48">
        <f>100592.34-62570.56-16307.5-8244</f>
        <v>13470.279999999999</v>
      </c>
      <c r="CI9" s="48">
        <f>80791.57-56664.15-15745</f>
        <v>8382.4200000000055</v>
      </c>
      <c r="CJ9" s="48">
        <f>70654.5-14395-50670.65</f>
        <v>5588.8499999999985</v>
      </c>
      <c r="CK9" s="48">
        <f>186541.69-50742-73758.84-21200</f>
        <v>40840.850000000006</v>
      </c>
      <c r="CL9" s="48">
        <f>179593.44-50742-73555.84-21187.5</f>
        <v>34108.100000000006</v>
      </c>
      <c r="CM9" s="48">
        <f>168214.77-73037.84-21062.5-50742</f>
        <v>23372.429999999993</v>
      </c>
      <c r="CN9" s="48">
        <f>165275.02-50742-72421.84-20762.5</f>
        <v>21348.679999999993</v>
      </c>
      <c r="CO9" s="48">
        <f>161997.84-50677-20625-71189.84</f>
        <v>19506</v>
      </c>
      <c r="CP9" s="48">
        <f>158489.58-50677-69999.84-19787.5</f>
        <v>18025.239999999991</v>
      </c>
      <c r="CQ9" s="48">
        <f>152773.52-18587.5-68899.94-49811</f>
        <v>15475.079999999987</v>
      </c>
      <c r="CR9" s="48">
        <f>142850.75-43480-66953.84-18050</f>
        <v>14366.910000000003</v>
      </c>
      <c r="CS9" s="48">
        <f>117858.96-25433-64007.84-17262.5</f>
        <v>11155.62000000001</v>
      </c>
      <c r="CT9" s="48">
        <f>103380.46-19355-60530.17-16575</f>
        <v>6920.2900000000081</v>
      </c>
      <c r="CU9" s="48">
        <f>91409.49-17515-53484.25-14875</f>
        <v>5535.2400000000052</v>
      </c>
      <c r="DL9" s="1" t="s">
        <v>37</v>
      </c>
    </row>
    <row r="10" spans="1:116" x14ac:dyDescent="0.25">
      <c r="A10" s="75" t="s">
        <v>38</v>
      </c>
      <c r="D10" s="1" t="s">
        <v>39</v>
      </c>
      <c r="E10" s="26">
        <f>(165901-74055-20000-46731)/12*12</f>
        <v>25115</v>
      </c>
      <c r="F10" s="26">
        <f>(165901-74055-20000-46731)/12*11</f>
        <v>23022.083333333332</v>
      </c>
      <c r="G10" s="26">
        <f>(165901-74055-20000-46731)/12*10</f>
        <v>20929.166666666664</v>
      </c>
      <c r="H10" s="26">
        <f>(165901-74055-20000-46731)/12*9</f>
        <v>18836.25</v>
      </c>
      <c r="I10" s="26">
        <f>(165901-74055-20000-46731)/12*8</f>
        <v>16743.333333333332</v>
      </c>
      <c r="J10" s="26">
        <f>(165901-74055-20000-46731)/12*7</f>
        <v>14650.416666666666</v>
      </c>
      <c r="K10" s="26">
        <f>(165901-74055-20000-46731)/12*6</f>
        <v>12557.5</v>
      </c>
      <c r="L10" s="26">
        <f>(165901-74055-20000-46731)/12*5</f>
        <v>10464.583333333332</v>
      </c>
      <c r="M10" s="26">
        <f>(165901-74055-20000-46731)/12*4</f>
        <v>8371.6666666666661</v>
      </c>
      <c r="N10" s="26">
        <f>(165901-74055-20000-46731)/12*3</f>
        <v>6278.75</v>
      </c>
      <c r="O10" s="26">
        <f>(165901-74055-20000-46731)/12*2</f>
        <v>4185.833333333333</v>
      </c>
      <c r="P10" s="50">
        <f>(165901-74055-20000-46731)/12*1</f>
        <v>2092.9166666666665</v>
      </c>
      <c r="Q10" s="51">
        <f>(165901-74055-20000-46731)/12*12</f>
        <v>25115</v>
      </c>
      <c r="R10" s="50">
        <f>(165901-74055-20000-46731)/12*11</f>
        <v>23022.083333333332</v>
      </c>
      <c r="S10" s="50">
        <f>(165901-74055-20000-46731)/12*10</f>
        <v>20929.166666666664</v>
      </c>
      <c r="T10" s="50">
        <f>(165901-74055-20000-46731)/12*9</f>
        <v>18836.25</v>
      </c>
      <c r="U10" s="50">
        <f>(165901-74055-20000-46731)/12*8</f>
        <v>16743.333333333332</v>
      </c>
      <c r="V10" s="50">
        <f>(165901-74055-20000-46731)/12*7</f>
        <v>14650.416666666666</v>
      </c>
      <c r="W10" s="50">
        <f>(165901-74055-20000-46731)/12*6</f>
        <v>12557.5</v>
      </c>
      <c r="X10" s="50">
        <f>(165901-74055-20000-46731)/12*5</f>
        <v>10464.583333333332</v>
      </c>
      <c r="Y10" s="50">
        <f>(165901-74055-20000-46731)/12*4</f>
        <v>8371.6666666666661</v>
      </c>
      <c r="Z10" s="50">
        <f>(165901-74055-20000-46731)/12*3</f>
        <v>6278.75</v>
      </c>
      <c r="AA10" s="50">
        <f>(165901-74055-20000-46731)/12*2</f>
        <v>4185.833333333333</v>
      </c>
      <c r="AB10" s="50">
        <f>(165901-74055-20000-46731)/12*1</f>
        <v>2092.9166666666665</v>
      </c>
      <c r="AC10" s="50">
        <f>(165901-74055-20000-46731)/12*12</f>
        <v>25115</v>
      </c>
      <c r="AD10" s="50">
        <f>(165901-74055-20000-46731)/12*11</f>
        <v>23022.083333333332</v>
      </c>
      <c r="AE10" s="50">
        <f>(165901-74055-20000-46731)/12*10</f>
        <v>20929.166666666664</v>
      </c>
      <c r="AF10" s="50">
        <f>(165901-74055-20000-46731)/12*9</f>
        <v>18836.25</v>
      </c>
      <c r="AG10" s="50">
        <f>(165901-74055-20000-46731)/12*8</f>
        <v>16743.333333333332</v>
      </c>
      <c r="AH10" s="50">
        <f>(165901-74055-20000-46731)/12*7</f>
        <v>14650.416666666666</v>
      </c>
      <c r="AI10" s="50">
        <f>(165901-74055-20000-46731)/12*6</f>
        <v>12557.5</v>
      </c>
      <c r="AJ10" s="50">
        <f>(165901-74055-20000-46731)/12*5</f>
        <v>10464.583333333332</v>
      </c>
      <c r="AK10" s="50">
        <f>(165901-74055-20000-46731)/12*4</f>
        <v>8371.6666666666661</v>
      </c>
      <c r="AL10" s="50">
        <f>(165901-74055-20000-46731)/12*3</f>
        <v>6278.75</v>
      </c>
      <c r="AM10" s="50">
        <f>(165901-74055-20000-46731)/12*2</f>
        <v>4185.833333333333</v>
      </c>
      <c r="AN10" s="50">
        <f>(165901-74055-20000-46731)/12*1</f>
        <v>2092.9166666666665</v>
      </c>
      <c r="AO10" s="50">
        <f>(165901-74055-20000-46731)/12*12</f>
        <v>25115</v>
      </c>
      <c r="AP10" s="50">
        <f>(165901-74055-20000-46731)/12*11</f>
        <v>23022.083333333332</v>
      </c>
      <c r="AQ10" s="50">
        <f>(165901-74055-20000-46731)/12*10</f>
        <v>20929.166666666664</v>
      </c>
      <c r="AR10" s="50">
        <f>(165901-74055-20000-46731)/12*9</f>
        <v>18836.25</v>
      </c>
      <c r="AS10" s="50">
        <f>(165901-74055-20000-46731)/12*8</f>
        <v>16743.333333333332</v>
      </c>
      <c r="AT10" s="26">
        <f>(165901-74055-20000-46731)/12*7</f>
        <v>14650.416666666666</v>
      </c>
      <c r="AU10" s="26">
        <f>(165901-74055-20000-46731)/12*6</f>
        <v>12557.5</v>
      </c>
      <c r="AV10" s="26">
        <f>(165901-74055-20000-46731)/12*5</f>
        <v>10464.583333333332</v>
      </c>
      <c r="AW10" s="52">
        <f>(165901-74055-20000-46731)/12*4</f>
        <v>8371.6666666666661</v>
      </c>
      <c r="AX10" s="26">
        <f>(165901-74055-20000-46731)/12*3</f>
        <v>6278.75</v>
      </c>
      <c r="AY10" s="26">
        <f>(165901-74055-20000-46731)/12*2</f>
        <v>4185.833333333333</v>
      </c>
      <c r="AZ10" s="26">
        <f>(165901-74055-20000-46731)/12*1</f>
        <v>2092.9166666666665</v>
      </c>
      <c r="BA10" s="26">
        <f>(173742-84165-20000-44486)/12*12</f>
        <v>25091</v>
      </c>
      <c r="BB10" s="26">
        <f>(173742-84165-20000-44486)/12*11</f>
        <v>23000.083333333332</v>
      </c>
      <c r="BC10" s="26">
        <f>(173742-84165-20000-44486)/12*10</f>
        <v>20909.166666666664</v>
      </c>
      <c r="BD10" s="26">
        <f>(173742-84165-20000-44486)/12*9</f>
        <v>18818.25</v>
      </c>
      <c r="BE10" s="26">
        <f>(173742-84165-20000-44486)/12*8</f>
        <v>16727.333333333332</v>
      </c>
      <c r="BF10" s="26">
        <f>(173742-84165-20000-44486)/12*7</f>
        <v>14636.416666666666</v>
      </c>
      <c r="BG10" s="26">
        <f>(173742-84165-20000-44486)/12*6</f>
        <v>12545.5</v>
      </c>
      <c r="BH10" s="26">
        <f>(173742-84165-20000-44486)/12*5</f>
        <v>10454.583333333332</v>
      </c>
      <c r="BI10" s="26">
        <f>(173742-84165-20000-44486)/12*4</f>
        <v>8363.6666666666661</v>
      </c>
      <c r="BJ10" s="26">
        <f>(173742-84165-20000-44486)/12*3</f>
        <v>6272.75</v>
      </c>
      <c r="BK10" s="26">
        <f>(173742-84165-20000-44486)/12*2</f>
        <v>4181.833333333333</v>
      </c>
      <c r="BL10" s="26">
        <f>(173742-84165-20000-44486)/12*1</f>
        <v>2090.9166666666665</v>
      </c>
      <c r="BM10" s="26">
        <f>(161708-73902-42162-20000)/12*12</f>
        <v>25644</v>
      </c>
      <c r="BN10" s="26">
        <f>(161708-73902-42162-20000)/12*11</f>
        <v>23507</v>
      </c>
      <c r="BO10" s="26">
        <f>(161708-73902-42162-20000)/12*10</f>
        <v>21370</v>
      </c>
      <c r="BP10" s="26">
        <f>(161708-73902-42162-20000)/12*9</f>
        <v>19233</v>
      </c>
      <c r="BQ10" s="26">
        <f>(161708-73902-42162-20000)/12*8</f>
        <v>17096</v>
      </c>
      <c r="BR10" s="26">
        <f>(161708-73902-42162-20000)/12*7</f>
        <v>14959</v>
      </c>
      <c r="BS10" s="26">
        <f>(161708-73902-42162-20000)/12*6</f>
        <v>12822</v>
      </c>
      <c r="BT10" s="26">
        <f>(161708-73902-42162-20000)/12*5</f>
        <v>10685</v>
      </c>
      <c r="BU10" s="26">
        <f>(161708-73902-42162-20000)/12*4</f>
        <v>8548</v>
      </c>
      <c r="BV10" s="26">
        <f>(161708-73902-42162-20000)/12*3</f>
        <v>6411</v>
      </c>
      <c r="BW10" s="26">
        <f>(161708-73902-42162-20000)/12*2</f>
        <v>4274</v>
      </c>
      <c r="BX10" s="26">
        <f>(161708-73902-42162-20000)/12*1</f>
        <v>2137</v>
      </c>
      <c r="BY10" s="53">
        <f>(174743-45101-78942-20000)/12*12</f>
        <v>30700</v>
      </c>
      <c r="BZ10" s="53">
        <f>(174743-45101-78942-20000)/12*11</f>
        <v>28141.666666666668</v>
      </c>
      <c r="CA10" s="53">
        <f>(174743-45101-78942-20000)/12*10</f>
        <v>25583.333333333336</v>
      </c>
      <c r="CB10" s="53">
        <f>(174743-45101-78942-20000)/12*9</f>
        <v>23025</v>
      </c>
      <c r="CC10" s="53">
        <f>(174743-45101-78942-20000)/12*8</f>
        <v>20466.666666666668</v>
      </c>
      <c r="CD10" s="48">
        <f>(174743-45101-78942-20000)/12*7</f>
        <v>17908.333333333336</v>
      </c>
      <c r="CE10" s="48">
        <f>(174743-45101-78942-20000)/12*6</f>
        <v>15350</v>
      </c>
      <c r="CF10" s="48">
        <f>(174743-45101-78942-20000)/12*5</f>
        <v>12791.666666666668</v>
      </c>
      <c r="CG10" s="48">
        <f>(174743-45101-78942-20000)/12*4</f>
        <v>10233.333333333334</v>
      </c>
      <c r="CH10" s="48">
        <f>(174743-45101-78942-20000)/12*3</f>
        <v>7675</v>
      </c>
      <c r="CI10" s="48">
        <f>(174743-45101-78942-20000)/12*2</f>
        <v>5116.666666666667</v>
      </c>
      <c r="CJ10" s="48">
        <f>(174743-45101-78942-20000)/12</f>
        <v>2558.3333333333335</v>
      </c>
      <c r="CK10" s="48">
        <f>(58217-18000)/12*11</f>
        <v>36865.583333333328</v>
      </c>
      <c r="CL10" s="48">
        <f>(58217-18000)/12*10</f>
        <v>33514.166666666664</v>
      </c>
      <c r="CM10" s="48">
        <f>(58217-18000)/12*9</f>
        <v>30162.75</v>
      </c>
      <c r="CN10" s="48">
        <f>(58217-18000)/12*8</f>
        <v>26811.333333333332</v>
      </c>
      <c r="CO10" s="48">
        <f>(58217-18000)/12*7</f>
        <v>23459.916666666664</v>
      </c>
      <c r="CP10" s="48">
        <f>(58217-18000)/12*6</f>
        <v>20108.5</v>
      </c>
      <c r="CQ10" s="48">
        <f>(58217-18000)/12*5</f>
        <v>16757.083333333332</v>
      </c>
      <c r="CR10" s="48">
        <f>(58217-18000)/12*4</f>
        <v>13405.666666666666</v>
      </c>
      <c r="CS10" s="48">
        <f>(58217-18000)/12*3</f>
        <v>10054.25</v>
      </c>
      <c r="CT10" s="48">
        <f>(58217-18000)/12*2</f>
        <v>6702.833333333333</v>
      </c>
      <c r="CU10" s="48">
        <f>(58217-18000)/12</f>
        <v>3351.4166666666665</v>
      </c>
    </row>
    <row r="11" spans="1:116" x14ac:dyDescent="0.25">
      <c r="D11" s="1" t="s">
        <v>40</v>
      </c>
      <c r="E11" s="24">
        <f t="shared" ref="E11:F11" si="16">+E9-E10</f>
        <v>11062.639999999985</v>
      </c>
      <c r="F11" s="24">
        <f t="shared" si="16"/>
        <v>9965.5466666666725</v>
      </c>
      <c r="G11" s="24">
        <f t="shared" ref="G11:H11" si="17">+G9-G10</f>
        <v>10368.513333333329</v>
      </c>
      <c r="H11" s="24">
        <f t="shared" si="17"/>
        <v>6641.8499999999985</v>
      </c>
      <c r="I11" s="24">
        <f t="shared" ref="I11:J11" si="18">+I9-I10</f>
        <v>433.6666666666606</v>
      </c>
      <c r="J11" s="24">
        <f t="shared" si="18"/>
        <v>530.53333333333103</v>
      </c>
      <c r="K11" s="24">
        <f t="shared" ref="K11:L11" si="19">+K9-K10</f>
        <v>1134.7999999999956</v>
      </c>
      <c r="L11" s="24">
        <f t="shared" si="19"/>
        <v>1254.5366666666778</v>
      </c>
      <c r="M11" s="24">
        <f t="shared" ref="M11:N11" si="20">+M9-M10</f>
        <v>1303.7333333333354</v>
      </c>
      <c r="N11" s="24">
        <f t="shared" si="20"/>
        <v>1652.1599999999962</v>
      </c>
      <c r="O11" s="24">
        <f t="shared" ref="O11:P11" si="21">+O9-O10</f>
        <v>290.93666666667104</v>
      </c>
      <c r="P11" s="24">
        <f t="shared" si="21"/>
        <v>533.51333333333378</v>
      </c>
      <c r="Q11" s="65">
        <f t="shared" ref="Q11:CB11" si="22">+Q9-Q10</f>
        <v>2104.1699999999837</v>
      </c>
      <c r="R11" s="24">
        <f t="shared" si="22"/>
        <v>2909.386666666669</v>
      </c>
      <c r="S11" s="24">
        <f t="shared" si="22"/>
        <v>4125.7033333333311</v>
      </c>
      <c r="T11" s="24">
        <f t="shared" si="22"/>
        <v>3922.5999999999913</v>
      </c>
      <c r="U11" s="24">
        <f t="shared" si="22"/>
        <v>2469.7966666666725</v>
      </c>
      <c r="V11" s="24">
        <f t="shared" si="22"/>
        <v>2549.533333333331</v>
      </c>
      <c r="W11" s="24">
        <f t="shared" si="22"/>
        <v>2489.7799999999988</v>
      </c>
      <c r="X11" s="24">
        <f t="shared" si="22"/>
        <v>2776.9066666666731</v>
      </c>
      <c r="Y11" s="24">
        <f t="shared" si="22"/>
        <v>3250.9933333333374</v>
      </c>
      <c r="Z11" s="24">
        <f t="shared" si="22"/>
        <v>1917.6399999999994</v>
      </c>
      <c r="AA11" s="24">
        <f t="shared" si="22"/>
        <v>1960.6266666666661</v>
      </c>
      <c r="AB11" s="24">
        <f t="shared" si="22"/>
        <v>1142.7233333333329</v>
      </c>
      <c r="AC11" s="24">
        <f t="shared" si="22"/>
        <v>15214.009999999995</v>
      </c>
      <c r="AD11" s="24">
        <f t="shared" si="22"/>
        <v>13936.536666666678</v>
      </c>
      <c r="AE11" s="24">
        <f t="shared" si="22"/>
        <v>13491.373333333344</v>
      </c>
      <c r="AF11" s="24">
        <f t="shared" si="22"/>
        <v>7558.2200000000012</v>
      </c>
      <c r="AG11" s="24">
        <f t="shared" si="22"/>
        <v>4022.8966666666638</v>
      </c>
      <c r="AH11" s="24">
        <f t="shared" si="22"/>
        <v>2704.2133333333386</v>
      </c>
      <c r="AI11" s="24">
        <f t="shared" si="22"/>
        <v>2425.2400000000052</v>
      </c>
      <c r="AJ11" s="24">
        <f t="shared" si="22"/>
        <v>2593.4966666666696</v>
      </c>
      <c r="AK11" s="24">
        <f t="shared" si="22"/>
        <v>1434.7233333333334</v>
      </c>
      <c r="AL11" s="24">
        <f t="shared" si="22"/>
        <v>2144.0099999999948</v>
      </c>
      <c r="AM11" s="24">
        <f t="shared" si="22"/>
        <v>-29.53333333333012</v>
      </c>
      <c r="AN11" s="24">
        <f t="shared" si="22"/>
        <v>-310.93666666667059</v>
      </c>
      <c r="AO11" s="24">
        <f t="shared" si="22"/>
        <v>8917.86</v>
      </c>
      <c r="AP11" s="24">
        <f t="shared" si="22"/>
        <v>7655.5566666666673</v>
      </c>
      <c r="AQ11" s="24">
        <f t="shared" si="22"/>
        <v>7795.0633333333317</v>
      </c>
      <c r="AR11" s="24">
        <f t="shared" si="22"/>
        <v>4085.5</v>
      </c>
      <c r="AS11" s="24">
        <f t="shared" si="22"/>
        <v>738.5566666666673</v>
      </c>
      <c r="AT11" s="42">
        <f t="shared" si="22"/>
        <v>-1999.3066666666655</v>
      </c>
      <c r="AU11" s="24">
        <f t="shared" si="22"/>
        <v>-2123.2799999999988</v>
      </c>
      <c r="AV11" s="24">
        <f t="shared" si="22"/>
        <v>-1611.043333333324</v>
      </c>
      <c r="AW11" s="43">
        <f t="shared" si="22"/>
        <v>-1377.5766666666696</v>
      </c>
      <c r="AX11" s="24">
        <f t="shared" si="22"/>
        <v>-837.05999999999767</v>
      </c>
      <c r="AY11" s="24">
        <f t="shared" si="22"/>
        <v>-493.42333333332954</v>
      </c>
      <c r="AZ11" s="24">
        <f t="shared" si="22"/>
        <v>828.43333333333931</v>
      </c>
      <c r="BA11" s="24">
        <f t="shared" si="22"/>
        <v>-6076.7799999999843</v>
      </c>
      <c r="BB11" s="24">
        <f t="shared" si="22"/>
        <v>-4743.7233333333315</v>
      </c>
      <c r="BC11" s="24">
        <f t="shared" si="22"/>
        <v>-4310.1966666666485</v>
      </c>
      <c r="BD11" s="24">
        <f t="shared" si="22"/>
        <v>-3782.3300000000017</v>
      </c>
      <c r="BE11" s="24">
        <f t="shared" si="22"/>
        <v>-3194.4333333333234</v>
      </c>
      <c r="BF11" s="24">
        <f t="shared" si="22"/>
        <v>-2824.8566666666684</v>
      </c>
      <c r="BG11" s="24">
        <f t="shared" si="22"/>
        <v>-2084.0299999999988</v>
      </c>
      <c r="BH11" s="24">
        <f t="shared" si="22"/>
        <v>-1532.0733333333374</v>
      </c>
      <c r="BI11" s="24">
        <f t="shared" si="22"/>
        <v>-394.35666666666839</v>
      </c>
      <c r="BJ11" s="24">
        <f t="shared" si="22"/>
        <v>-144.92999999999302</v>
      </c>
      <c r="BK11" s="24">
        <f t="shared" si="22"/>
        <v>149.16666666666697</v>
      </c>
      <c r="BL11" s="24">
        <f t="shared" si="22"/>
        <v>-249.91666666666652</v>
      </c>
      <c r="BM11" s="24">
        <f t="shared" si="22"/>
        <v>1650.5799999999872</v>
      </c>
      <c r="BN11" s="24">
        <f t="shared" si="22"/>
        <v>2186.3099999999977</v>
      </c>
      <c r="BO11" s="24">
        <f t="shared" si="22"/>
        <v>2757.7099999999919</v>
      </c>
      <c r="BP11" s="24">
        <f t="shared" si="22"/>
        <v>1371.3999999999942</v>
      </c>
      <c r="BQ11" s="24">
        <f t="shared" si="22"/>
        <v>-102.64000000001397</v>
      </c>
      <c r="BR11" s="24">
        <f t="shared" si="22"/>
        <v>438.17999999999302</v>
      </c>
      <c r="BS11" s="24">
        <f t="shared" si="22"/>
        <v>622.76999999998952</v>
      </c>
      <c r="BT11" s="24">
        <f t="shared" si="22"/>
        <v>1416.7799999999988</v>
      </c>
      <c r="BU11" s="24">
        <f t="shared" si="22"/>
        <v>461.44999999999709</v>
      </c>
      <c r="BV11" s="24">
        <f t="shared" si="22"/>
        <v>79.070000000006985</v>
      </c>
      <c r="BW11" s="24">
        <f t="shared" si="22"/>
        <v>-56.330000000001746</v>
      </c>
      <c r="BX11" s="24">
        <f t="shared" si="22"/>
        <v>637.62000000000262</v>
      </c>
      <c r="BY11" s="24">
        <f t="shared" si="22"/>
        <v>772.04000000000087</v>
      </c>
      <c r="BZ11" s="24">
        <f t="shared" si="22"/>
        <v>2169.4733333333315</v>
      </c>
      <c r="CA11" s="24">
        <f t="shared" si="22"/>
        <v>2974.0366666666632</v>
      </c>
      <c r="CB11" s="24">
        <f t="shared" si="22"/>
        <v>4078.5600000000013</v>
      </c>
      <c r="CC11" s="24">
        <f t="shared" ref="CC11:CU11" si="23">+CC9-CC10</f>
        <v>4163.1333333333314</v>
      </c>
      <c r="CD11" s="24">
        <f t="shared" si="23"/>
        <v>5096.7166666666672</v>
      </c>
      <c r="CE11" s="24">
        <f t="shared" si="23"/>
        <v>5572.1100000000006</v>
      </c>
      <c r="CF11" s="24">
        <f t="shared" si="23"/>
        <v>4537.0433333333385</v>
      </c>
      <c r="CG11" s="24">
        <f t="shared" si="23"/>
        <v>5214.4966666666605</v>
      </c>
      <c r="CH11" s="24">
        <f t="shared" si="23"/>
        <v>5795.2799999999988</v>
      </c>
      <c r="CI11" s="24">
        <f t="shared" si="23"/>
        <v>3265.7533333333386</v>
      </c>
      <c r="CJ11" s="24">
        <f t="shared" si="23"/>
        <v>3030.5166666666651</v>
      </c>
      <c r="CK11" s="24">
        <f t="shared" si="23"/>
        <v>3975.2666666666773</v>
      </c>
      <c r="CL11" s="24">
        <f t="shared" si="23"/>
        <v>593.93333333334158</v>
      </c>
      <c r="CM11" s="24">
        <f t="shared" si="23"/>
        <v>-6790.320000000007</v>
      </c>
      <c r="CN11" s="24">
        <f t="shared" si="23"/>
        <v>-5462.6533333333391</v>
      </c>
      <c r="CO11" s="24">
        <f t="shared" si="23"/>
        <v>-3953.9166666666642</v>
      </c>
      <c r="CP11" s="24">
        <f t="shared" si="23"/>
        <v>-2083.2600000000093</v>
      </c>
      <c r="CQ11" s="24">
        <f t="shared" si="23"/>
        <v>-1282.0033333333449</v>
      </c>
      <c r="CR11" s="24">
        <f t="shared" si="23"/>
        <v>961.24333333333743</v>
      </c>
      <c r="CS11" s="24">
        <f t="shared" si="23"/>
        <v>1101.3700000000099</v>
      </c>
      <c r="CT11" s="24">
        <f t="shared" si="23"/>
        <v>217.45666666667512</v>
      </c>
      <c r="CU11" s="24">
        <f t="shared" si="23"/>
        <v>2183.8233333333387</v>
      </c>
    </row>
    <row r="12" spans="1:116" x14ac:dyDescent="0.25"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5"/>
      <c r="Q12" s="21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7"/>
      <c r="AI12" s="17"/>
      <c r="AJ12" s="17"/>
      <c r="AK12" s="17"/>
      <c r="AL12" s="15"/>
      <c r="AM12" s="17"/>
      <c r="AN12" s="17"/>
      <c r="AO12" s="17"/>
      <c r="AP12" s="17"/>
      <c r="AQ12" s="17"/>
      <c r="AR12" s="14"/>
      <c r="AS12" s="16"/>
      <c r="AT12" s="1"/>
      <c r="AU12" s="1"/>
      <c r="AW12" s="37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</row>
    <row r="13" spans="1:116" x14ac:dyDescent="0.25">
      <c r="A13" s="75" t="s">
        <v>41</v>
      </c>
      <c r="D13" s="1" t="s">
        <v>42</v>
      </c>
      <c r="E13" s="26">
        <f>146026.84-2342.67</f>
        <v>143684.16999999998</v>
      </c>
      <c r="F13" s="26">
        <f>133028.4-1931.93</f>
        <v>131096.47</v>
      </c>
      <c r="G13" s="26">
        <f>121682.06-1834.02</f>
        <v>119848.04</v>
      </c>
      <c r="H13" s="26">
        <f>109772.24-1834.02</f>
        <v>107938.22</v>
      </c>
      <c r="I13" s="26">
        <f>97808.42-1834.02</f>
        <v>95974.399999999994</v>
      </c>
      <c r="J13" s="26">
        <f>86605.59-1834.02</f>
        <v>84771.569999999992</v>
      </c>
      <c r="K13" s="26">
        <f>74280.25-1834.02</f>
        <v>72446.23</v>
      </c>
      <c r="L13" s="26">
        <f>61674.61-1834.02</f>
        <v>59840.590000000004</v>
      </c>
      <c r="M13" s="26">
        <f>48701.98-484.02</f>
        <v>48217.960000000006</v>
      </c>
      <c r="N13" s="26">
        <f>38559.67-209.8</f>
        <v>38349.869999999995</v>
      </c>
      <c r="O13" s="26">
        <f>25904.21-55.23</f>
        <v>25848.98</v>
      </c>
      <c r="P13" s="50">
        <f>15361.95-55.23</f>
        <v>15306.720000000001</v>
      </c>
      <c r="Q13" s="51">
        <f>135917.55-2608.16</f>
        <v>133309.38999999998</v>
      </c>
      <c r="R13" s="50">
        <f>121770.16-2603.07</f>
        <v>119167.09</v>
      </c>
      <c r="S13" s="50">
        <f>111226.59-2445.28</f>
        <v>108781.31</v>
      </c>
      <c r="T13" s="50">
        <f>101959.45-2436.03</f>
        <v>99523.42</v>
      </c>
      <c r="U13" s="50">
        <f>92882.53-2436.03</f>
        <v>90446.5</v>
      </c>
      <c r="V13" s="50">
        <f>82875.44-2436.03</f>
        <v>80439.41</v>
      </c>
      <c r="W13" s="50">
        <f>71908.83-2436.03</f>
        <v>69472.800000000003</v>
      </c>
      <c r="X13" s="50">
        <f>57597.1-2436.03</f>
        <v>55161.07</v>
      </c>
      <c r="Y13" s="50">
        <f>46692.66-705.85</f>
        <v>45986.810000000005</v>
      </c>
      <c r="Z13" s="50">
        <f>35614.51-366.52</f>
        <v>35247.990000000005</v>
      </c>
      <c r="AA13" s="50">
        <f>22673.85-220.91</f>
        <v>22452.94</v>
      </c>
      <c r="AB13" s="50">
        <f>12879.58-220.91</f>
        <v>12658.67</v>
      </c>
      <c r="AC13" s="50">
        <f>131454.02-874.11</f>
        <v>130579.90999999999</v>
      </c>
      <c r="AD13" s="50">
        <f>114923.15-863.93</f>
        <v>114059.22</v>
      </c>
      <c r="AE13" s="50">
        <f>105638.28-763.26</f>
        <v>104875.02</v>
      </c>
      <c r="AF13" s="50">
        <f>96459.87-635.3</f>
        <v>95824.569999999992</v>
      </c>
      <c r="AG13" s="50">
        <f>84954.66-635.3</f>
        <v>84319.360000000001</v>
      </c>
      <c r="AH13" s="50">
        <f>74219.02-635.3</f>
        <v>73583.72</v>
      </c>
      <c r="AI13" s="50">
        <f>65001.11-635.3</f>
        <v>64365.81</v>
      </c>
      <c r="AJ13" s="50">
        <f>53309.84-635.3</f>
        <v>52674.539999999994</v>
      </c>
      <c r="AK13" s="50">
        <f>43246.5-333.8</f>
        <v>42912.7</v>
      </c>
      <c r="AL13" s="50">
        <f>35416.66-20.12</f>
        <v>35396.54</v>
      </c>
      <c r="AM13" s="50">
        <f>22229.83-0</f>
        <v>22229.83</v>
      </c>
      <c r="AN13" s="50">
        <f>12564.2-0</f>
        <v>12564.2</v>
      </c>
      <c r="AO13" s="50">
        <f>123238.69-1297.46</f>
        <v>121941.23</v>
      </c>
      <c r="AP13" s="50">
        <f>111121.5-978.17</f>
        <v>110143.33</v>
      </c>
      <c r="AQ13" s="50">
        <f>100976.77-959.48</f>
        <v>100017.29000000001</v>
      </c>
      <c r="AR13" s="50">
        <f>90910.31-936.27</f>
        <v>89974.04</v>
      </c>
      <c r="AS13" s="50">
        <f>78947.58-936.27</f>
        <v>78011.31</v>
      </c>
      <c r="AT13" s="26">
        <f>70294.56-936.27</f>
        <v>69358.289999999994</v>
      </c>
      <c r="AU13" s="26">
        <f>(58593.37-936.27)</f>
        <v>57657.100000000006</v>
      </c>
      <c r="AV13" s="26">
        <f>(48997.75-873.18)</f>
        <v>48124.57</v>
      </c>
      <c r="AW13" s="52">
        <f>(40021.33-869.18)</f>
        <v>39152.15</v>
      </c>
      <c r="AX13" s="26">
        <f>(30611.09-697.96)</f>
        <v>29913.13</v>
      </c>
      <c r="AY13" s="26">
        <f>(20217.68-697.96)</f>
        <v>19519.72</v>
      </c>
      <c r="AZ13" s="26">
        <f>(11012.82-697.96)</f>
        <v>10314.86</v>
      </c>
      <c r="BA13" s="26">
        <f>(150305.91-28054.87)</f>
        <v>122251.04000000001</v>
      </c>
      <c r="BB13" s="26">
        <f>(138221.17-28054.87)</f>
        <v>110166.30000000002</v>
      </c>
      <c r="BC13" s="26">
        <f>(128034.77-28054.87)</f>
        <v>99979.900000000009</v>
      </c>
      <c r="BD13" s="26">
        <f>(118919.15-28054.87)</f>
        <v>90864.28</v>
      </c>
      <c r="BE13" s="26">
        <f>(108842.82-28054.87)</f>
        <v>80787.950000000012</v>
      </c>
      <c r="BF13" s="26">
        <f>(99979.98-28054.87)</f>
        <v>71925.11</v>
      </c>
      <c r="BG13" s="26">
        <f>(86616.98-28054.87)</f>
        <v>58562.11</v>
      </c>
      <c r="BH13" s="26">
        <f>(77238.59-27981.04)</f>
        <v>49257.549999999996</v>
      </c>
      <c r="BI13" s="26">
        <f>(51279.97-11709.7)</f>
        <v>39570.270000000004</v>
      </c>
      <c r="BJ13" s="26">
        <f>(30585.44-1135.78)</f>
        <v>29449.66</v>
      </c>
      <c r="BK13" s="26">
        <f>(21028.39-150)</f>
        <v>20878.39</v>
      </c>
      <c r="BL13" s="9">
        <v>11098.15</v>
      </c>
      <c r="BM13" s="26">
        <f>(135067.49-23755.84)</f>
        <v>111311.65</v>
      </c>
      <c r="BN13" s="26">
        <f>(125182.71-23755.84)</f>
        <v>101426.87000000001</v>
      </c>
      <c r="BO13" s="26">
        <f>(116596.59-23755.84)</f>
        <v>92840.75</v>
      </c>
      <c r="BP13" s="26">
        <f>(106649.09-23755.84)</f>
        <v>82893.25</v>
      </c>
      <c r="BQ13" s="26">
        <f>(96846.84-23755.84)</f>
        <v>73091</v>
      </c>
      <c r="BR13" s="26">
        <f>(88425.34-23755.84)</f>
        <v>64669.5</v>
      </c>
      <c r="BS13" s="26">
        <f>(77233.86-23755.84)</f>
        <v>53478.020000000004</v>
      </c>
      <c r="BT13" s="26">
        <f>(53834.91-8057.02)</f>
        <v>45777.89</v>
      </c>
      <c r="BU13" s="26">
        <f>(44391.49-7344.94)</f>
        <v>37046.549999999996</v>
      </c>
      <c r="BV13" s="26">
        <f>(27338.65-1526.32)</f>
        <v>25812.33</v>
      </c>
      <c r="BW13" s="26">
        <f>(19258.71-1288.57)</f>
        <v>17970.14</v>
      </c>
      <c r="BX13" s="26">
        <f>(10649.99-506.65)</f>
        <v>10143.34</v>
      </c>
      <c r="BY13" s="10">
        <v>115540.4</v>
      </c>
      <c r="BZ13" s="10">
        <v>104659.05</v>
      </c>
      <c r="CA13" s="10">
        <v>95877.11</v>
      </c>
      <c r="CB13" s="10">
        <v>86530.68</v>
      </c>
      <c r="CC13" s="10">
        <v>78335.34</v>
      </c>
      <c r="CD13" s="48">
        <f>98543.87-28573.11</f>
        <v>69970.759999999995</v>
      </c>
      <c r="CE13" s="48">
        <f>68115.97-9005.62</f>
        <v>59110.35</v>
      </c>
      <c r="CF13" s="48">
        <f>51337.23-2013.16</f>
        <v>49324.07</v>
      </c>
      <c r="CG13" s="48">
        <f>41173.06-1105.92</f>
        <v>40067.14</v>
      </c>
      <c r="CH13" s="48">
        <f>31849.6-797.94</f>
        <v>31051.66</v>
      </c>
      <c r="CI13" s="48">
        <f>21770.23-197.94</f>
        <v>21572.29</v>
      </c>
      <c r="CJ13" s="48">
        <f>13700.23-197.94</f>
        <v>13502.289999999999</v>
      </c>
      <c r="CK13" s="48">
        <f>141771.38-37905.51</f>
        <v>103865.87</v>
      </c>
      <c r="CL13" s="48">
        <f>131940.21-37617.8</f>
        <v>94322.409999999989</v>
      </c>
      <c r="CM13" s="48">
        <f>123167.82-36987</f>
        <v>86180.82</v>
      </c>
      <c r="CN13" s="48">
        <f>115581.16-36987</f>
        <v>78594.16</v>
      </c>
      <c r="CO13" s="48">
        <f>100991.76-36987</f>
        <v>64004.759999999995</v>
      </c>
      <c r="CP13" s="48">
        <f>89873.8-35301.79</f>
        <v>54572.01</v>
      </c>
      <c r="CQ13" s="48">
        <f>57686.79-10566.83</f>
        <v>47119.96</v>
      </c>
      <c r="CR13" s="48">
        <f>46573.23-7698.84</f>
        <v>38874.39</v>
      </c>
      <c r="CS13" s="48">
        <f>35702.89-6835.98</f>
        <v>28866.91</v>
      </c>
      <c r="CT13" s="48">
        <f>15509.91-392.48</f>
        <v>15117.43</v>
      </c>
      <c r="CU13" s="48">
        <f>9727.03-198.3</f>
        <v>9528.7300000000014</v>
      </c>
      <c r="CV13" s="48">
        <f>165283.61-55089.91</f>
        <v>110193.69999999998</v>
      </c>
      <c r="CW13" s="48">
        <f>154985.88-55089.91</f>
        <v>99895.97</v>
      </c>
      <c r="CX13" s="48">
        <f>147908.73-55089.91</f>
        <v>92818.82</v>
      </c>
      <c r="CY13" s="48">
        <f>137385.94-53318.11</f>
        <v>84067.83</v>
      </c>
      <c r="CZ13" s="48">
        <f>129017.7-53318.11</f>
        <v>75699.59</v>
      </c>
      <c r="DA13" s="48">
        <f>120422.8-53318.11</f>
        <v>67104.69</v>
      </c>
      <c r="DB13" s="48">
        <f>110494.93-53318.11</f>
        <v>57176.819999999992</v>
      </c>
      <c r="DC13" s="48">
        <f>102406.75-52731.61</f>
        <v>49675.14</v>
      </c>
      <c r="DD13" s="48">
        <f>56305.75-17474.25</f>
        <v>38831.5</v>
      </c>
      <c r="DE13" s="48">
        <f>29627.71-1697.38</f>
        <v>27930.329999999998</v>
      </c>
      <c r="DF13" s="48">
        <f>19782.49-632.98</f>
        <v>19149.510000000002</v>
      </c>
      <c r="DG13" s="48">
        <f>9721.86-132.98</f>
        <v>9588.880000000001</v>
      </c>
    </row>
    <row r="14" spans="1:116" x14ac:dyDescent="0.25">
      <c r="A14" s="75" t="s">
        <v>38</v>
      </c>
      <c r="D14" s="1" t="s">
        <v>43</v>
      </c>
      <c r="E14" s="26">
        <f>+(165347-31090)/12*12</f>
        <v>134257</v>
      </c>
      <c r="F14" s="26">
        <f>+(165347-31090)/12*11</f>
        <v>123068.91666666667</v>
      </c>
      <c r="G14" s="26">
        <f>+(165347-31090)/12*10</f>
        <v>111880.83333333334</v>
      </c>
      <c r="H14" s="26">
        <f>+(165347-31090)/12*9</f>
        <v>100692.75</v>
      </c>
      <c r="I14" s="26">
        <f>+(165347-31090)/12*8</f>
        <v>89504.666666666672</v>
      </c>
      <c r="J14" s="26">
        <f>+(165347-31090)/12*7</f>
        <v>78316.583333333343</v>
      </c>
      <c r="K14" s="26">
        <f>+(165347-31090)/12*6</f>
        <v>67128.5</v>
      </c>
      <c r="L14" s="26">
        <f>+(165347-31090)/12*5</f>
        <v>55940.416666666672</v>
      </c>
      <c r="M14" s="26">
        <f>+(165347-31090)/12*4</f>
        <v>44752.333333333336</v>
      </c>
      <c r="N14" s="26">
        <f>+(165347-31090)/12*3</f>
        <v>33564.25</v>
      </c>
      <c r="O14" s="26">
        <f>+(165347-31090)/12*2</f>
        <v>22376.166666666668</v>
      </c>
      <c r="P14" s="50">
        <f>+(165347-31090)/12*1</f>
        <v>11188.083333333334</v>
      </c>
      <c r="Q14" s="51">
        <f>+(165347-31090)/12*12</f>
        <v>134257</v>
      </c>
      <c r="R14" s="50">
        <f>+(165347-31090)/12*11</f>
        <v>123068.91666666667</v>
      </c>
      <c r="S14" s="50">
        <f>+(165347-31090)/12*10</f>
        <v>111880.83333333334</v>
      </c>
      <c r="T14" s="50">
        <f>+(165347-31090)/12*9</f>
        <v>100692.75</v>
      </c>
      <c r="U14" s="50">
        <f>+(165347-31090)/12*8</f>
        <v>89504.666666666672</v>
      </c>
      <c r="V14" s="50">
        <f>+(165347-31090)/12*7</f>
        <v>78316.583333333343</v>
      </c>
      <c r="W14" s="50">
        <f>+(165347-31090)/12*6</f>
        <v>67128.5</v>
      </c>
      <c r="X14" s="50">
        <f>+(165347-31090)/12*5</f>
        <v>55940.416666666672</v>
      </c>
      <c r="Y14" s="50">
        <f>+(165347-31090)/12*4</f>
        <v>44752.333333333336</v>
      </c>
      <c r="Z14" s="50">
        <f>+(165347-31090)/12*3</f>
        <v>33564.25</v>
      </c>
      <c r="AA14" s="50">
        <f>+(165347-31090)/12*2</f>
        <v>22376.166666666668</v>
      </c>
      <c r="AB14" s="50">
        <f>+(165347-31090)/12*1</f>
        <v>11188.083333333334</v>
      </c>
      <c r="AC14" s="50">
        <f>+(165347-31090)/12*12</f>
        <v>134257</v>
      </c>
      <c r="AD14" s="50">
        <f>+(165347-31090)/12*11</f>
        <v>123068.91666666667</v>
      </c>
      <c r="AE14" s="50">
        <f>+(165347-31090)/12*10</f>
        <v>111880.83333333334</v>
      </c>
      <c r="AF14" s="50">
        <f>+(165347-31090)/12*9</f>
        <v>100692.75</v>
      </c>
      <c r="AG14" s="50">
        <f>+(165347-31090)/12*8</f>
        <v>89504.666666666672</v>
      </c>
      <c r="AH14" s="50">
        <f>+(165347-31090)/12*7</f>
        <v>78316.583333333343</v>
      </c>
      <c r="AI14" s="50">
        <f>+(165347-31090)/12*6</f>
        <v>67128.5</v>
      </c>
      <c r="AJ14" s="50">
        <f>+(165347-31090)/12*5</f>
        <v>55940.416666666672</v>
      </c>
      <c r="AK14" s="50">
        <f>+(165347-31090)/12*4</f>
        <v>44752.333333333336</v>
      </c>
      <c r="AL14" s="50">
        <f>+(165347-31090)/12*3</f>
        <v>33564.25</v>
      </c>
      <c r="AM14" s="50">
        <f>+(165347-31090)/12*2</f>
        <v>22376.166666666668</v>
      </c>
      <c r="AN14" s="50">
        <f>+(165347-31090)/12*1</f>
        <v>11188.083333333334</v>
      </c>
      <c r="AO14" s="50">
        <f>+(165347-31090)/12*12</f>
        <v>134257</v>
      </c>
      <c r="AP14" s="50">
        <f>+(165347-31090)/12*11</f>
        <v>123068.91666666667</v>
      </c>
      <c r="AQ14" s="50">
        <f>+(165347-31090)/12*10</f>
        <v>111880.83333333334</v>
      </c>
      <c r="AR14" s="50">
        <f>+(165347-31090)/12*9</f>
        <v>100692.75</v>
      </c>
      <c r="AS14" s="50">
        <f>+(165347-31090)/12*8</f>
        <v>89504.666666666672</v>
      </c>
      <c r="AT14" s="26">
        <f>+(165347-31090)/12*7</f>
        <v>78316.583333333343</v>
      </c>
      <c r="AU14" s="26">
        <f>+(165347-31090)/12*6</f>
        <v>67128.5</v>
      </c>
      <c r="AV14" s="26">
        <f>+(165347-31090)/12*5</f>
        <v>55940.416666666672</v>
      </c>
      <c r="AW14" s="52">
        <f>+(165347-31090)/12*4</f>
        <v>44752.333333333336</v>
      </c>
      <c r="AX14" s="26">
        <f>+(165347-31090)/12*3</f>
        <v>33564.25</v>
      </c>
      <c r="AY14" s="26">
        <f>+(165347-31090)/12*2</f>
        <v>22376.166666666668</v>
      </c>
      <c r="AZ14" s="26">
        <f>+(165347-31090)/12*1</f>
        <v>11188.083333333334</v>
      </c>
      <c r="BA14" s="26">
        <f>+(173675-38900)/12*12</f>
        <v>134775</v>
      </c>
      <c r="BB14" s="26">
        <f>+(173675-38900)/12*11</f>
        <v>123543.75</v>
      </c>
      <c r="BC14" s="26">
        <f>+(173675-38900)/12*10</f>
        <v>112312.5</v>
      </c>
      <c r="BD14" s="26">
        <f>+(173675-38900)/12*9</f>
        <v>101081.25</v>
      </c>
      <c r="BE14" s="26">
        <f>+(173675-38900)/12*8</f>
        <v>89850</v>
      </c>
      <c r="BF14" s="26">
        <f>+(173675-38900)/12*7</f>
        <v>78618.75</v>
      </c>
      <c r="BG14" s="26">
        <f>+(173675-38900)/12*6</f>
        <v>67387.5</v>
      </c>
      <c r="BH14" s="26">
        <f>+(173675-38900)/12*5</f>
        <v>56156.25</v>
      </c>
      <c r="BI14" s="26">
        <f>+(173675-38900)/12*4</f>
        <v>44925</v>
      </c>
      <c r="BJ14" s="26">
        <f>+(173675-38900)/12*3</f>
        <v>33693.75</v>
      </c>
      <c r="BK14" s="26">
        <f>+(173675-38900)/12*2</f>
        <v>22462.5</v>
      </c>
      <c r="BL14" s="26">
        <f>+(173675-38900)/12*1</f>
        <v>11231.25</v>
      </c>
      <c r="BM14" s="26">
        <f>+(158897-34415)/12*12</f>
        <v>124482</v>
      </c>
      <c r="BN14" s="26">
        <f>+(158897-34415)/12*11</f>
        <v>114108.5</v>
      </c>
      <c r="BO14" s="26">
        <f>+(158897-34415)/12*10</f>
        <v>103735</v>
      </c>
      <c r="BP14" s="26">
        <f>+(158897-34415)/12*9</f>
        <v>93361.5</v>
      </c>
      <c r="BQ14" s="26">
        <f>+(158897-34415)/12*8</f>
        <v>82988</v>
      </c>
      <c r="BR14" s="26">
        <f>+(158897-34415)/12*7</f>
        <v>72614.5</v>
      </c>
      <c r="BS14" s="26">
        <f>+(158897-34415)/12*6</f>
        <v>62241</v>
      </c>
      <c r="BT14" s="26">
        <f>+(158897-34415)/12*5</f>
        <v>51867.5</v>
      </c>
      <c r="BU14" s="26">
        <f>+(158897-34415)/12*4</f>
        <v>41494</v>
      </c>
      <c r="BV14" s="26">
        <f>+(158897-34415)/12*3</f>
        <v>31120.5</v>
      </c>
      <c r="BW14" s="26">
        <f>+(158897-34415)/12*2</f>
        <v>20747</v>
      </c>
      <c r="BX14" s="26">
        <f>+(158897-34415)/12</f>
        <v>10373.5</v>
      </c>
      <c r="BY14" s="48">
        <f>+(169577-41565)/12*12</f>
        <v>128012</v>
      </c>
      <c r="BZ14" s="48">
        <f>+(169577-41565)/12*11</f>
        <v>117344.33333333333</v>
      </c>
      <c r="CA14" s="48">
        <f>+(169577-41565)/12*10</f>
        <v>106676.66666666666</v>
      </c>
      <c r="CB14" s="48">
        <f>+(169577-41565)/12*9</f>
        <v>96009</v>
      </c>
      <c r="CC14" s="48">
        <f>+(169577-41565)/12*8</f>
        <v>85341.333333333328</v>
      </c>
      <c r="CD14" s="48">
        <f>+(169577-41565)/12*7</f>
        <v>74673.666666666657</v>
      </c>
      <c r="CE14" s="48">
        <f>+(169577-41565)/12*6</f>
        <v>64006</v>
      </c>
      <c r="CF14" s="48">
        <f>+(169577-41565)/12*5</f>
        <v>53338.333333333328</v>
      </c>
      <c r="CG14" s="48">
        <f>+(169577-41565)/12*4</f>
        <v>42670.666666666664</v>
      </c>
      <c r="CH14" s="48">
        <f>+(169577-41565)/12*3</f>
        <v>32003</v>
      </c>
      <c r="CI14" s="48">
        <f>+(169577-41565)/12*2</f>
        <v>21335.333333333332</v>
      </c>
      <c r="CJ14" s="48">
        <f>+(169577-41565)/12</f>
        <v>10667.666666666666</v>
      </c>
      <c r="CK14" s="48">
        <f>+(171526-40275)/12*11</f>
        <v>120313.41666666667</v>
      </c>
      <c r="CL14" s="48">
        <f>+(171526-40275)/12*10</f>
        <v>109375.83333333334</v>
      </c>
      <c r="CM14" s="48">
        <f>+(171526-40275)/12*9</f>
        <v>98438.25</v>
      </c>
      <c r="CN14" s="48">
        <f>+(171526-40275)/12*8</f>
        <v>87500.666666666672</v>
      </c>
      <c r="CO14" s="48">
        <f>+(171526-40275)/12*7</f>
        <v>76563.083333333343</v>
      </c>
      <c r="CP14" s="48">
        <f>+(171526-40275)/12*6</f>
        <v>65625.5</v>
      </c>
      <c r="CQ14" s="48">
        <f>+(171526-40275)/12*5</f>
        <v>54687.916666666672</v>
      </c>
      <c r="CR14" s="48">
        <f>+(171526-40275)/12*4</f>
        <v>43750.333333333336</v>
      </c>
      <c r="CS14" s="48">
        <f>+(171526-40275)/12*3</f>
        <v>32812.75</v>
      </c>
      <c r="CT14" s="48">
        <f>+(171526-40275)/12*2</f>
        <v>21875.166666666668</v>
      </c>
      <c r="CU14" s="48">
        <f>+(171526-40275)/12</f>
        <v>10937.583333333334</v>
      </c>
      <c r="CV14" s="48">
        <f>131660/12*12</f>
        <v>131660</v>
      </c>
      <c r="CW14" s="48">
        <f>131660/12*11</f>
        <v>120688.33333333333</v>
      </c>
      <c r="CX14" s="48">
        <f>131660/12*10</f>
        <v>109716.66666666666</v>
      </c>
      <c r="CY14" s="48">
        <f>131660/12*9</f>
        <v>98745</v>
      </c>
      <c r="CZ14" s="48">
        <f>131660/12*8</f>
        <v>87773.333333333328</v>
      </c>
      <c r="DA14" s="48">
        <f>131660/12*7</f>
        <v>76801.666666666657</v>
      </c>
      <c r="DB14" s="48">
        <f>131660/12*6</f>
        <v>65830</v>
      </c>
      <c r="DC14" s="48">
        <f>131660/12*5</f>
        <v>54858.333333333328</v>
      </c>
      <c r="DD14" s="48">
        <f>131660/12*4</f>
        <v>43886.666666666664</v>
      </c>
      <c r="DE14" s="48">
        <f>131660/12*3</f>
        <v>32915</v>
      </c>
      <c r="DF14" s="48">
        <f>131660/12*2</f>
        <v>21943.333333333332</v>
      </c>
      <c r="DG14" s="48">
        <f>131660/12</f>
        <v>10971.666666666666</v>
      </c>
    </row>
    <row r="15" spans="1:116" x14ac:dyDescent="0.25">
      <c r="D15" s="1" t="s">
        <v>44</v>
      </c>
      <c r="E15" s="24">
        <f t="shared" ref="E15:F15" si="24">+E14-E13</f>
        <v>-9427.1699999999837</v>
      </c>
      <c r="F15" s="24">
        <f t="shared" si="24"/>
        <v>-8027.5533333333296</v>
      </c>
      <c r="G15" s="24">
        <f t="shared" ref="G15:H15" si="25">+G14-G13</f>
        <v>-7967.2066666666506</v>
      </c>
      <c r="H15" s="24">
        <f t="shared" si="25"/>
        <v>-7245.4700000000012</v>
      </c>
      <c r="I15" s="24">
        <f t="shared" ref="I15:J15" si="26">+I14-I13</f>
        <v>-6469.7333333333227</v>
      </c>
      <c r="J15" s="24">
        <f t="shared" si="26"/>
        <v>-6454.9866666666494</v>
      </c>
      <c r="K15" s="24">
        <f t="shared" ref="K15:L15" si="27">+K14-K13</f>
        <v>-5317.7299999999959</v>
      </c>
      <c r="L15" s="24">
        <f t="shared" si="27"/>
        <v>-3900.1733333333323</v>
      </c>
      <c r="M15" s="24">
        <f t="shared" ref="M15:N15" si="28">+M14-M13</f>
        <v>-3465.6266666666706</v>
      </c>
      <c r="N15" s="24">
        <f t="shared" si="28"/>
        <v>-4785.6199999999953</v>
      </c>
      <c r="O15" s="24">
        <f t="shared" ref="O15:P15" si="29">+O14-O13</f>
        <v>-3472.8133333333317</v>
      </c>
      <c r="P15" s="24">
        <f t="shared" si="29"/>
        <v>-4118.6366666666672</v>
      </c>
      <c r="Q15" s="65">
        <f t="shared" ref="Q15:CB15" si="30">+Q14-Q13</f>
        <v>947.61000000001513</v>
      </c>
      <c r="R15" s="24">
        <f t="shared" si="30"/>
        <v>3901.826666666675</v>
      </c>
      <c r="S15" s="24">
        <f t="shared" si="30"/>
        <v>3099.5233333333454</v>
      </c>
      <c r="T15" s="24">
        <f t="shared" si="30"/>
        <v>1169.3300000000017</v>
      </c>
      <c r="U15" s="24">
        <f t="shared" si="30"/>
        <v>-941.83333333332848</v>
      </c>
      <c r="V15" s="24">
        <f t="shared" si="30"/>
        <v>-2122.8266666666605</v>
      </c>
      <c r="W15" s="24">
        <f t="shared" si="30"/>
        <v>-2344.3000000000029</v>
      </c>
      <c r="X15" s="24">
        <f t="shared" si="30"/>
        <v>779.34666666667181</v>
      </c>
      <c r="Y15" s="24">
        <f t="shared" si="30"/>
        <v>-1234.4766666666692</v>
      </c>
      <c r="Z15" s="24">
        <f t="shared" si="30"/>
        <v>-1683.7400000000052</v>
      </c>
      <c r="AA15" s="24">
        <f t="shared" si="30"/>
        <v>-76.773333333330811</v>
      </c>
      <c r="AB15" s="24">
        <f t="shared" si="30"/>
        <v>-1470.5866666666661</v>
      </c>
      <c r="AC15" s="24">
        <f t="shared" si="30"/>
        <v>3677.0900000000111</v>
      </c>
      <c r="AD15" s="24">
        <f t="shared" si="30"/>
        <v>9009.6966666666704</v>
      </c>
      <c r="AE15" s="24">
        <f t="shared" si="30"/>
        <v>7005.813333333339</v>
      </c>
      <c r="AF15" s="24">
        <f t="shared" si="30"/>
        <v>4868.1800000000076</v>
      </c>
      <c r="AG15" s="24">
        <f t="shared" si="30"/>
        <v>5185.3066666666709</v>
      </c>
      <c r="AH15" s="24">
        <f t="shared" si="30"/>
        <v>4732.8633333333419</v>
      </c>
      <c r="AI15" s="24">
        <f t="shared" si="30"/>
        <v>2762.6900000000023</v>
      </c>
      <c r="AJ15" s="24">
        <f t="shared" si="30"/>
        <v>3265.8766666666779</v>
      </c>
      <c r="AK15" s="24">
        <f t="shared" si="30"/>
        <v>1839.6333333333387</v>
      </c>
      <c r="AL15" s="24">
        <f t="shared" si="30"/>
        <v>-1832.2900000000009</v>
      </c>
      <c r="AM15" s="24">
        <f t="shared" si="30"/>
        <v>146.33666666666613</v>
      </c>
      <c r="AN15" s="24">
        <f t="shared" si="30"/>
        <v>-1376.1166666666668</v>
      </c>
      <c r="AO15" s="24">
        <f t="shared" si="30"/>
        <v>12315.770000000004</v>
      </c>
      <c r="AP15" s="24">
        <f t="shared" si="30"/>
        <v>12925.58666666667</v>
      </c>
      <c r="AQ15" s="24">
        <f t="shared" si="30"/>
        <v>11863.543333333335</v>
      </c>
      <c r="AR15" s="24">
        <f t="shared" si="30"/>
        <v>10718.710000000006</v>
      </c>
      <c r="AS15" s="24">
        <f t="shared" si="30"/>
        <v>11493.356666666674</v>
      </c>
      <c r="AT15" s="42">
        <f t="shared" si="30"/>
        <v>8958.2933333333494</v>
      </c>
      <c r="AU15" s="24">
        <f t="shared" si="30"/>
        <v>9471.3999999999942</v>
      </c>
      <c r="AV15" s="24">
        <f t="shared" si="30"/>
        <v>7815.8466666666718</v>
      </c>
      <c r="AW15" s="43">
        <f t="shared" si="30"/>
        <v>5600.1833333333343</v>
      </c>
      <c r="AX15" s="24">
        <f t="shared" si="30"/>
        <v>3651.119999999999</v>
      </c>
      <c r="AY15" s="24">
        <f t="shared" si="30"/>
        <v>2856.4466666666667</v>
      </c>
      <c r="AZ15" s="24">
        <f t="shared" si="30"/>
        <v>873.22333333333336</v>
      </c>
      <c r="BA15" s="24">
        <f t="shared" si="30"/>
        <v>12523.959999999992</v>
      </c>
      <c r="BB15" s="24">
        <f t="shared" si="30"/>
        <v>13377.449999999983</v>
      </c>
      <c r="BC15" s="24">
        <f t="shared" si="30"/>
        <v>12332.599999999991</v>
      </c>
      <c r="BD15" s="24">
        <f t="shared" si="30"/>
        <v>10216.970000000001</v>
      </c>
      <c r="BE15" s="24">
        <f t="shared" si="30"/>
        <v>9062.0499999999884</v>
      </c>
      <c r="BF15" s="24">
        <f t="shared" si="30"/>
        <v>6693.6399999999994</v>
      </c>
      <c r="BG15" s="24">
        <f t="shared" si="30"/>
        <v>8825.39</v>
      </c>
      <c r="BH15" s="24">
        <f t="shared" si="30"/>
        <v>6898.7000000000044</v>
      </c>
      <c r="BI15" s="24">
        <f t="shared" si="30"/>
        <v>5354.7299999999959</v>
      </c>
      <c r="BJ15" s="24">
        <f t="shared" si="30"/>
        <v>4244.09</v>
      </c>
      <c r="BK15" s="24">
        <f t="shared" si="30"/>
        <v>1584.1100000000006</v>
      </c>
      <c r="BL15" s="24">
        <f t="shared" si="30"/>
        <v>133.10000000000036</v>
      </c>
      <c r="BM15" s="24">
        <f t="shared" si="30"/>
        <v>13170.350000000006</v>
      </c>
      <c r="BN15" s="24">
        <f t="shared" si="30"/>
        <v>12681.62999999999</v>
      </c>
      <c r="BO15" s="24">
        <f t="shared" si="30"/>
        <v>10894.25</v>
      </c>
      <c r="BP15" s="24">
        <f t="shared" si="30"/>
        <v>10468.25</v>
      </c>
      <c r="BQ15" s="24">
        <f t="shared" si="30"/>
        <v>9897</v>
      </c>
      <c r="BR15" s="24">
        <f t="shared" si="30"/>
        <v>7945</v>
      </c>
      <c r="BS15" s="24">
        <f t="shared" si="30"/>
        <v>8762.9799999999959</v>
      </c>
      <c r="BT15" s="24">
        <f t="shared" si="30"/>
        <v>6089.6100000000006</v>
      </c>
      <c r="BU15" s="24">
        <f t="shared" si="30"/>
        <v>4447.4500000000044</v>
      </c>
      <c r="BV15" s="24">
        <f t="shared" si="30"/>
        <v>5308.1699999999983</v>
      </c>
      <c r="BW15" s="24">
        <f t="shared" si="30"/>
        <v>2776.8600000000006</v>
      </c>
      <c r="BX15" s="24">
        <f t="shared" si="30"/>
        <v>230.15999999999985</v>
      </c>
      <c r="BY15" s="24">
        <f t="shared" si="30"/>
        <v>12471.600000000006</v>
      </c>
      <c r="BZ15" s="24">
        <f t="shared" si="30"/>
        <v>12685.283333333326</v>
      </c>
      <c r="CA15" s="24">
        <f t="shared" si="30"/>
        <v>10799.556666666656</v>
      </c>
      <c r="CB15" s="24">
        <f t="shared" si="30"/>
        <v>9478.320000000007</v>
      </c>
      <c r="CC15" s="24">
        <f t="shared" ref="CC15:DG15" si="31">+CC14-CC13</f>
        <v>7005.993333333332</v>
      </c>
      <c r="CD15" s="24">
        <f t="shared" si="31"/>
        <v>4702.9066666666622</v>
      </c>
      <c r="CE15" s="24">
        <f t="shared" si="31"/>
        <v>4895.6500000000015</v>
      </c>
      <c r="CF15" s="24">
        <f t="shared" si="31"/>
        <v>4014.2633333333288</v>
      </c>
      <c r="CG15" s="24">
        <f t="shared" si="31"/>
        <v>2603.5266666666648</v>
      </c>
      <c r="CH15" s="24">
        <f t="shared" si="31"/>
        <v>951.34000000000015</v>
      </c>
      <c r="CI15" s="24">
        <f t="shared" si="31"/>
        <v>-236.95666666666875</v>
      </c>
      <c r="CJ15" s="24">
        <f t="shared" si="31"/>
        <v>-2834.623333333333</v>
      </c>
      <c r="CK15" s="24">
        <f t="shared" si="31"/>
        <v>16447.546666666676</v>
      </c>
      <c r="CL15" s="24">
        <f t="shared" si="31"/>
        <v>15053.423333333354</v>
      </c>
      <c r="CM15" s="24">
        <f t="shared" si="31"/>
        <v>12257.429999999993</v>
      </c>
      <c r="CN15" s="24">
        <f t="shared" si="31"/>
        <v>8906.506666666668</v>
      </c>
      <c r="CO15" s="24">
        <f t="shared" si="31"/>
        <v>12558.323333333348</v>
      </c>
      <c r="CP15" s="24">
        <f t="shared" si="31"/>
        <v>11053.489999999998</v>
      </c>
      <c r="CQ15" s="24">
        <f t="shared" si="31"/>
        <v>7567.9566666666724</v>
      </c>
      <c r="CR15" s="24">
        <f t="shared" si="31"/>
        <v>4875.9433333333363</v>
      </c>
      <c r="CS15" s="24">
        <f t="shared" si="31"/>
        <v>3945.84</v>
      </c>
      <c r="CT15" s="24">
        <f t="shared" si="31"/>
        <v>6757.7366666666676</v>
      </c>
      <c r="CU15" s="24">
        <f t="shared" si="31"/>
        <v>1408.8533333333326</v>
      </c>
      <c r="CV15" s="24">
        <f t="shared" si="31"/>
        <v>21466.300000000017</v>
      </c>
      <c r="CW15" s="24">
        <f t="shared" si="31"/>
        <v>20792.363333333327</v>
      </c>
      <c r="CX15" s="24">
        <f t="shared" si="31"/>
        <v>16897.84666666665</v>
      </c>
      <c r="CY15" s="24">
        <f t="shared" si="31"/>
        <v>14677.169999999998</v>
      </c>
      <c r="CZ15" s="24">
        <f t="shared" si="31"/>
        <v>12073.743333333332</v>
      </c>
      <c r="DA15" s="24">
        <f t="shared" si="31"/>
        <v>9696.9766666666546</v>
      </c>
      <c r="DB15" s="24">
        <f t="shared" si="31"/>
        <v>8653.1800000000076</v>
      </c>
      <c r="DC15" s="24">
        <f t="shared" si="31"/>
        <v>5183.1933333333291</v>
      </c>
      <c r="DD15" s="24">
        <f t="shared" si="31"/>
        <v>5055.1666666666642</v>
      </c>
      <c r="DE15" s="24">
        <f t="shared" si="31"/>
        <v>4984.6700000000019</v>
      </c>
      <c r="DF15" s="24">
        <f t="shared" si="31"/>
        <v>2793.8233333333301</v>
      </c>
      <c r="DG15" s="24">
        <f t="shared" si="31"/>
        <v>1382.786666666665</v>
      </c>
    </row>
    <row r="16" spans="1:116" x14ac:dyDescent="0.25"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5"/>
      <c r="Q16" s="21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7"/>
      <c r="AI16" s="17"/>
      <c r="AJ16" s="17"/>
      <c r="AK16" s="17"/>
      <c r="AL16" s="15"/>
      <c r="AM16" s="17"/>
      <c r="AN16" s="17"/>
      <c r="AO16" s="17"/>
      <c r="AP16" s="17"/>
      <c r="AQ16" s="17"/>
      <c r="AR16" s="14"/>
      <c r="AS16" s="16"/>
      <c r="AT16" s="1"/>
      <c r="AU16" s="1"/>
      <c r="AW16" s="37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</row>
    <row r="17" spans="1:111" x14ac:dyDescent="0.25">
      <c r="A17" s="1" t="s">
        <v>45</v>
      </c>
      <c r="D17" s="1" t="s">
        <v>46</v>
      </c>
      <c r="E17" s="27">
        <f t="shared" ref="E17:X17" si="32">+E15+E7+E11</f>
        <v>-17548.53</v>
      </c>
      <c r="F17" s="27">
        <f t="shared" si="32"/>
        <v>-16810.006666666657</v>
      </c>
      <c r="G17" s="27">
        <f t="shared" si="32"/>
        <v>-15838.026666666658</v>
      </c>
      <c r="H17" s="27">
        <f t="shared" si="32"/>
        <v>-18552.286666666667</v>
      </c>
      <c r="I17" s="27">
        <f t="shared" si="32"/>
        <v>-23766.733333333326</v>
      </c>
      <c r="J17" s="27">
        <f t="shared" si="32"/>
        <v>-23073.786666666652</v>
      </c>
      <c r="K17" s="27">
        <f t="shared" si="32"/>
        <v>-20096.93</v>
      </c>
      <c r="L17" s="27">
        <f t="shared" si="32"/>
        <v>-17542.303333333319</v>
      </c>
      <c r="M17" s="27">
        <f t="shared" si="32"/>
        <v>-16549.893333333333</v>
      </c>
      <c r="N17" s="27">
        <f t="shared" si="32"/>
        <v>-17448.793333333335</v>
      </c>
      <c r="O17" s="27">
        <f t="shared" si="32"/>
        <v>-17460.87666666666</v>
      </c>
      <c r="P17" s="27">
        <f t="shared" si="32"/>
        <v>-17755.123333333333</v>
      </c>
      <c r="Q17" s="55">
        <f t="shared" si="32"/>
        <v>-4436.2200000000012</v>
      </c>
      <c r="R17" s="27">
        <f t="shared" si="32"/>
        <v>-676.78666666665595</v>
      </c>
      <c r="S17" s="27">
        <f t="shared" si="32"/>
        <v>-598.77333333332354</v>
      </c>
      <c r="T17" s="27">
        <f t="shared" si="32"/>
        <v>-2732.070000000007</v>
      </c>
      <c r="U17" s="27">
        <f t="shared" si="32"/>
        <v>-6296.0366666666559</v>
      </c>
      <c r="V17" s="27">
        <f t="shared" si="32"/>
        <v>-7397.2933333333294</v>
      </c>
      <c r="W17" s="27">
        <f t="shared" si="32"/>
        <v>-7486.5200000000041</v>
      </c>
      <c r="X17" s="27">
        <f t="shared" si="32"/>
        <v>-3547.7466666666551</v>
      </c>
      <c r="Y17" s="27">
        <f t="shared" ref="Y17:CJ17" si="33">+Y15+Y7+Y11</f>
        <v>-4943.4833333333318</v>
      </c>
      <c r="Z17" s="27">
        <f t="shared" si="33"/>
        <v>-6198.1000000000058</v>
      </c>
      <c r="AA17" s="74">
        <f t="shared" si="33"/>
        <v>-4212.1466666666647</v>
      </c>
      <c r="AB17" s="27">
        <f t="shared" si="33"/>
        <v>-6279.8633333333328</v>
      </c>
      <c r="AC17" s="27">
        <f t="shared" si="33"/>
        <v>13323.100000000006</v>
      </c>
      <c r="AD17" s="27">
        <f t="shared" si="33"/>
        <v>16946.233333333348</v>
      </c>
      <c r="AE17" s="27">
        <f t="shared" si="33"/>
        <v>14353.186666666683</v>
      </c>
      <c r="AF17" s="27">
        <f t="shared" si="33"/>
        <v>5994.4000000000087</v>
      </c>
      <c r="AG17" s="27">
        <f t="shared" si="33"/>
        <v>2440.2033333333347</v>
      </c>
      <c r="AH17" s="27">
        <f t="shared" si="33"/>
        <v>1053.0766666666805</v>
      </c>
      <c r="AI17" s="27">
        <f t="shared" si="33"/>
        <v>-1196.0699999999924</v>
      </c>
      <c r="AJ17" s="27">
        <f t="shared" si="33"/>
        <v>-1004.6266666666525</v>
      </c>
      <c r="AK17" s="27">
        <f t="shared" si="33"/>
        <v>-4213.643333333328</v>
      </c>
      <c r="AL17" s="27">
        <f t="shared" si="33"/>
        <v>-7752.2800000000061</v>
      </c>
      <c r="AM17" s="27">
        <f t="shared" si="33"/>
        <v>-8619.1966666666631</v>
      </c>
      <c r="AN17" s="27">
        <f t="shared" si="33"/>
        <v>-10903.053333333337</v>
      </c>
      <c r="AO17" s="27">
        <f t="shared" si="33"/>
        <v>16214.201428571429</v>
      </c>
      <c r="AP17" s="27">
        <f t="shared" si="33"/>
        <v>15068.000476190478</v>
      </c>
      <c r="AQ17" s="27">
        <f t="shared" si="33"/>
        <v>13843.749523809525</v>
      </c>
      <c r="AR17" s="27">
        <f t="shared" si="33"/>
        <v>8660.2100000000064</v>
      </c>
      <c r="AS17" s="27">
        <f t="shared" si="33"/>
        <v>5978.1990476190585</v>
      </c>
      <c r="AT17" s="27">
        <f t="shared" si="33"/>
        <v>897.27238095240136</v>
      </c>
      <c r="AU17" s="27">
        <f t="shared" si="33"/>
        <v>1204.1199999999953</v>
      </c>
      <c r="AV17" s="27">
        <f t="shared" si="33"/>
        <v>368.0033333333522</v>
      </c>
      <c r="AW17" s="56">
        <f t="shared" si="33"/>
        <v>-1393.3933333333352</v>
      </c>
      <c r="AX17" s="27">
        <f t="shared" si="33"/>
        <v>-2305.9400000000023</v>
      </c>
      <c r="AY17" s="27">
        <f t="shared" si="33"/>
        <v>-1956.9766666666628</v>
      </c>
      <c r="AZ17" s="27">
        <f t="shared" si="33"/>
        <v>-986.34333333332734</v>
      </c>
      <c r="BA17" s="27">
        <f t="shared" si="33"/>
        <v>-1152.8199999999888</v>
      </c>
      <c r="BB17" s="27">
        <f t="shared" si="33"/>
        <v>1302.8175757575591</v>
      </c>
      <c r="BC17" s="27">
        <f t="shared" si="33"/>
        <v>1014.4033333333427</v>
      </c>
      <c r="BD17" s="27">
        <f t="shared" si="33"/>
        <v>-242.6933333333327</v>
      </c>
      <c r="BE17" s="27">
        <f t="shared" si="33"/>
        <v>-588.38333333333503</v>
      </c>
      <c r="BF17" s="27">
        <f t="shared" si="33"/>
        <v>-2494.6452380952451</v>
      </c>
      <c r="BG17" s="27">
        <f t="shared" si="33"/>
        <v>629.36000000000422</v>
      </c>
      <c r="BH17" s="27">
        <f t="shared" si="33"/>
        <v>-431.77333333333081</v>
      </c>
      <c r="BI17" s="27">
        <f t="shared" si="33"/>
        <v>-415.62666666667246</v>
      </c>
      <c r="BJ17" s="27">
        <f t="shared" si="33"/>
        <v>-1020.8399999999965</v>
      </c>
      <c r="BK17" s="27">
        <f t="shared" si="33"/>
        <v>-3258.7233333333324</v>
      </c>
      <c r="BL17" s="27">
        <f t="shared" si="33"/>
        <v>-4532.8166666666657</v>
      </c>
      <c r="BM17" s="27">
        <f t="shared" si="33"/>
        <v>11684.929999999989</v>
      </c>
      <c r="BN17" s="27">
        <f t="shared" si="33"/>
        <v>11599.576363636354</v>
      </c>
      <c r="BO17" s="27">
        <f t="shared" si="33"/>
        <v>10191.159999999989</v>
      </c>
      <c r="BP17" s="27">
        <f t="shared" si="33"/>
        <v>8292.9833333333318</v>
      </c>
      <c r="BQ17" s="27">
        <f t="shared" si="33"/>
        <v>6203.359999999986</v>
      </c>
      <c r="BR17" s="27">
        <f t="shared" si="33"/>
        <v>4735.1799999999912</v>
      </c>
      <c r="BS17" s="27">
        <f t="shared" si="33"/>
        <v>5633.7499999999891</v>
      </c>
      <c r="BT17" s="27">
        <f t="shared" si="33"/>
        <v>3507.9899999999975</v>
      </c>
      <c r="BU17" s="27">
        <f t="shared" si="33"/>
        <v>750.90000000000146</v>
      </c>
      <c r="BV17" s="27">
        <f t="shared" si="33"/>
        <v>1411.2400000000021</v>
      </c>
      <c r="BW17" s="27">
        <f t="shared" si="33"/>
        <v>-723.47000000000116</v>
      </c>
      <c r="BX17" s="27">
        <f t="shared" si="33"/>
        <v>-2156.2199999999975</v>
      </c>
      <c r="BY17" s="27">
        <f t="shared" si="33"/>
        <v>9155.6400000000103</v>
      </c>
      <c r="BZ17" s="27">
        <f t="shared" si="33"/>
        <v>10807.483939393935</v>
      </c>
      <c r="CA17" s="27">
        <f t="shared" si="33"/>
        <v>9791.9933333333211</v>
      </c>
      <c r="CB17" s="27">
        <f t="shared" si="33"/>
        <v>9580.8800000000047</v>
      </c>
      <c r="CC17" s="27">
        <f t="shared" si="33"/>
        <v>7095.1266666666634</v>
      </c>
      <c r="CD17" s="27">
        <f t="shared" si="33"/>
        <v>5815.6233333333275</v>
      </c>
      <c r="CE17" s="27">
        <f t="shared" si="33"/>
        <v>6407.7599999999984</v>
      </c>
      <c r="CF17" s="27">
        <f t="shared" si="33"/>
        <v>4384.9066666666658</v>
      </c>
      <c r="CG17" s="27">
        <f t="shared" si="33"/>
        <v>3660.0233333333254</v>
      </c>
      <c r="CH17" s="27">
        <f t="shared" si="33"/>
        <v>2602.6199999999953</v>
      </c>
      <c r="CI17" s="27">
        <f t="shared" si="33"/>
        <v>-1339.2033333333302</v>
      </c>
      <c r="CJ17" s="27">
        <f t="shared" si="33"/>
        <v>-3836.1066666666679</v>
      </c>
      <c r="CK17" s="27">
        <f t="shared" ref="CK17:CU17" si="34">+CK15+CK7+CK11</f>
        <v>17322.449696969721</v>
      </c>
      <c r="CL17" s="27">
        <f t="shared" si="34"/>
        <v>12404.956666666694</v>
      </c>
      <c r="CM17" s="27">
        <f t="shared" si="34"/>
        <v>2144.44333333332</v>
      </c>
      <c r="CN17" s="27">
        <f t="shared" si="34"/>
        <v>125.85333333332892</v>
      </c>
      <c r="CO17" s="27">
        <f t="shared" si="34"/>
        <v>5340.4066666666804</v>
      </c>
      <c r="CP17" s="27">
        <f t="shared" si="34"/>
        <v>6002.229999999985</v>
      </c>
      <c r="CQ17" s="27">
        <f t="shared" si="34"/>
        <v>3429.9533333333275</v>
      </c>
      <c r="CR17" s="27">
        <f t="shared" si="34"/>
        <v>2939.1866666666738</v>
      </c>
      <c r="CS17" s="27">
        <f t="shared" si="34"/>
        <v>2303.2100000000132</v>
      </c>
      <c r="CT17" s="27">
        <f t="shared" si="34"/>
        <v>4287.1933333333427</v>
      </c>
      <c r="CU17" s="27">
        <f t="shared" si="34"/>
        <v>1576.6766666666713</v>
      </c>
      <c r="CV17" s="27">
        <f t="shared" ref="CV17:DG17" si="35">+CV15+CV7</f>
        <v>16823.390909090929</v>
      </c>
      <c r="CW17" s="27">
        <f t="shared" si="35"/>
        <v>16149.454242424239</v>
      </c>
      <c r="CX17" s="27">
        <f t="shared" si="35"/>
        <v>12160.246666666651</v>
      </c>
      <c r="CY17" s="27">
        <f t="shared" si="35"/>
        <v>9842.5033333333322</v>
      </c>
      <c r="CZ17" s="27">
        <f t="shared" si="35"/>
        <v>7159.743333333332</v>
      </c>
      <c r="DA17" s="27">
        <f t="shared" si="35"/>
        <v>4728.9766666666574</v>
      </c>
      <c r="DB17" s="27">
        <f t="shared" si="35"/>
        <v>3641.1800000000112</v>
      </c>
      <c r="DC17" s="27">
        <f t="shared" si="35"/>
        <v>176.79333333332761</v>
      </c>
      <c r="DD17" s="27">
        <f t="shared" si="35"/>
        <v>141.16666666666424</v>
      </c>
      <c r="DE17" s="27">
        <f t="shared" si="35"/>
        <v>-559.32999999999811</v>
      </c>
      <c r="DF17" s="27">
        <f t="shared" si="35"/>
        <v>-1658.1766666666699</v>
      </c>
      <c r="DG17" s="27">
        <f t="shared" si="35"/>
        <v>-2145.213333333335</v>
      </c>
    </row>
    <row r="18" spans="1:111" x14ac:dyDescent="0.25"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5"/>
      <c r="Q18" s="21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7"/>
      <c r="AI18" s="17"/>
      <c r="AJ18" s="17"/>
      <c r="AK18" s="17"/>
      <c r="AL18" s="15"/>
      <c r="AM18" s="17"/>
      <c r="AN18" s="17"/>
      <c r="AO18" s="17"/>
      <c r="AP18" s="17"/>
      <c r="AQ18" s="17"/>
      <c r="AR18" s="14"/>
      <c r="AS18" s="16"/>
      <c r="AT18" s="1"/>
      <c r="AU18" s="1"/>
      <c r="AW18" s="37"/>
    </row>
    <row r="19" spans="1:111" x14ac:dyDescent="0.25">
      <c r="A19" s="75" t="s">
        <v>47</v>
      </c>
      <c r="D19" s="1" t="s">
        <v>48</v>
      </c>
      <c r="E19" s="26">
        <v>230870.1</v>
      </c>
      <c r="F19" s="26">
        <v>222921.39</v>
      </c>
      <c r="G19" s="26">
        <v>225076.97</v>
      </c>
      <c r="H19" s="26">
        <v>228167.57</v>
      </c>
      <c r="I19" s="26">
        <v>227035.81</v>
      </c>
      <c r="J19" s="26">
        <v>229268.95</v>
      </c>
      <c r="K19" s="26">
        <v>234617.17</v>
      </c>
      <c r="L19" s="26">
        <v>240790.82</v>
      </c>
      <c r="M19" s="26">
        <v>249066.92</v>
      </c>
      <c r="N19" s="26">
        <v>243120.21</v>
      </c>
      <c r="O19" s="26">
        <v>241131.46</v>
      </c>
      <c r="P19" s="50">
        <v>242033.65</v>
      </c>
      <c r="Q19" s="51">
        <v>244725.1</v>
      </c>
      <c r="R19" s="50">
        <v>226625.55</v>
      </c>
      <c r="S19" s="50">
        <v>226608.28</v>
      </c>
      <c r="T19" s="50">
        <v>229510.33</v>
      </c>
      <c r="U19" s="50">
        <v>232511.29</v>
      </c>
      <c r="V19" s="50">
        <v>234286.13</v>
      </c>
      <c r="W19" s="50">
        <v>236172.23</v>
      </c>
      <c r="X19" s="50">
        <v>242756.93</v>
      </c>
      <c r="Y19" s="50">
        <v>247702.06</v>
      </c>
      <c r="Z19" s="50">
        <v>235877.87</v>
      </c>
      <c r="AA19" s="50">
        <v>234462.44</v>
      </c>
      <c r="AB19" s="50">
        <v>232551.07</v>
      </c>
      <c r="AC19" s="50">
        <v>227223.46</v>
      </c>
      <c r="AD19" s="50">
        <v>222291.28</v>
      </c>
      <c r="AE19" s="50">
        <v>222964.41</v>
      </c>
      <c r="AF19" s="50">
        <v>220065.09</v>
      </c>
      <c r="AG19" s="50">
        <v>219445.58</v>
      </c>
      <c r="AH19" s="50">
        <v>221905.46</v>
      </c>
      <c r="AI19" s="50">
        <v>221376.32</v>
      </c>
      <c r="AJ19" s="50">
        <v>226540.87</v>
      </c>
      <c r="AK19" s="50">
        <v>228537.46</v>
      </c>
      <c r="AL19" s="50">
        <v>218238.76</v>
      </c>
      <c r="AM19" s="50">
        <v>217631.22</v>
      </c>
      <c r="AN19" s="50">
        <v>215799.79</v>
      </c>
      <c r="AO19" s="50">
        <v>213717.5</v>
      </c>
      <c r="AP19" s="50">
        <v>200455.16</v>
      </c>
      <c r="AQ19" s="50">
        <v>199174.08</v>
      </c>
      <c r="AR19" s="18">
        <v>198871.91</v>
      </c>
      <c r="AS19" s="18">
        <v>201633.03</v>
      </c>
      <c r="AT19" s="26">
        <v>198427.36</v>
      </c>
      <c r="AU19" s="9">
        <v>201764.75</v>
      </c>
      <c r="AV19" s="9">
        <v>204090.18</v>
      </c>
      <c r="AW19" s="11">
        <v>204811.16</v>
      </c>
      <c r="AX19" s="9">
        <v>207426.69</v>
      </c>
      <c r="AY19" s="9">
        <v>208671.66</v>
      </c>
      <c r="AZ19" s="9">
        <v>205831.41</v>
      </c>
      <c r="BA19" s="9">
        <v>196400.27</v>
      </c>
      <c r="BB19" s="9">
        <v>183372.72</v>
      </c>
      <c r="BC19" s="9">
        <v>187318.57</v>
      </c>
      <c r="BD19" s="9">
        <v>192689.72</v>
      </c>
      <c r="BE19" s="9">
        <v>196488.25</v>
      </c>
      <c r="BF19" s="9">
        <v>199939.96</v>
      </c>
      <c r="BG19" s="9">
        <v>206509.62</v>
      </c>
      <c r="BH19" s="9">
        <v>208026.37</v>
      </c>
      <c r="BI19" s="9">
        <v>226589.55</v>
      </c>
      <c r="BJ19" s="9">
        <v>236966</v>
      </c>
      <c r="BK19" s="9">
        <v>216536.92</v>
      </c>
      <c r="BL19" s="9">
        <v>208852.88</v>
      </c>
      <c r="BM19" s="9">
        <v>208084.34</v>
      </c>
      <c r="BN19" s="9">
        <v>190910.57</v>
      </c>
      <c r="BO19" s="9">
        <v>195109.54</v>
      </c>
      <c r="BP19" s="9">
        <v>196661.4</v>
      </c>
      <c r="BQ19" s="9">
        <v>198062.31</v>
      </c>
      <c r="BR19" s="9">
        <v>201360.67</v>
      </c>
      <c r="BS19" s="9">
        <v>205295.41</v>
      </c>
      <c r="BT19" s="9">
        <v>222436.86</v>
      </c>
      <c r="BU19" s="9">
        <v>223214.74</v>
      </c>
      <c r="BV19" s="9">
        <v>225441.26</v>
      </c>
      <c r="BW19" s="9">
        <v>200070.68</v>
      </c>
      <c r="BX19" s="9">
        <v>190292.37</v>
      </c>
      <c r="BY19" s="25">
        <v>183451.03</v>
      </c>
      <c r="BZ19" s="25">
        <v>165527.87</v>
      </c>
      <c r="CA19" s="25">
        <v>169705.41</v>
      </c>
      <c r="CB19" s="25">
        <v>171598.07</v>
      </c>
      <c r="CC19" s="25">
        <v>171675.05</v>
      </c>
      <c r="CD19" s="10">
        <v>174179.87</v>
      </c>
      <c r="CE19" s="10">
        <v>196037.68</v>
      </c>
      <c r="CF19" s="10">
        <v>201222.8</v>
      </c>
      <c r="CG19" s="10">
        <v>199351.59</v>
      </c>
      <c r="CH19" s="10">
        <v>182578.38</v>
      </c>
      <c r="CI19" s="10">
        <v>172974.49</v>
      </c>
      <c r="CJ19" s="10">
        <v>168857.21</v>
      </c>
      <c r="CK19" s="10">
        <v>138236.38</v>
      </c>
      <c r="CL19" s="10">
        <v>139914.1</v>
      </c>
      <c r="CM19" s="10">
        <v>136897.97</v>
      </c>
      <c r="CN19" s="10">
        <v>133154.15</v>
      </c>
      <c r="CO19" s="10">
        <v>141056.29</v>
      </c>
      <c r="CP19" s="10">
        <v>146472.87</v>
      </c>
      <c r="CQ19" s="10">
        <v>171294.25</v>
      </c>
      <c r="CR19" s="10">
        <v>171543.28</v>
      </c>
      <c r="CS19" s="10">
        <v>155924.75</v>
      </c>
      <c r="CT19" s="10">
        <v>154498.1</v>
      </c>
      <c r="CU19" s="10">
        <v>152371.14000000001</v>
      </c>
      <c r="CV19" s="10">
        <v>120388.32</v>
      </c>
      <c r="CW19" s="10">
        <v>99920.19</v>
      </c>
      <c r="CX19" s="10">
        <v>101238.88</v>
      </c>
      <c r="CY19" s="10">
        <v>105639.09</v>
      </c>
      <c r="CZ19" s="10">
        <v>108992.54</v>
      </c>
      <c r="DA19" s="10">
        <v>112437.44</v>
      </c>
      <c r="DB19" s="10">
        <v>113633.69</v>
      </c>
      <c r="DC19" s="10">
        <v>115805.19</v>
      </c>
      <c r="DD19" s="10">
        <v>157672.74</v>
      </c>
      <c r="DE19" s="10">
        <v>164947.21</v>
      </c>
      <c r="DF19" s="10">
        <v>154575.5</v>
      </c>
      <c r="DG19" s="10">
        <v>151253.48000000001</v>
      </c>
    </row>
    <row r="20" spans="1:111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26">
        <v>-49286.32</v>
      </c>
      <c r="K20" s="26">
        <v>-49286.32</v>
      </c>
      <c r="L20" s="26">
        <v>-49286.32</v>
      </c>
      <c r="M20" s="26">
        <v>-49286.32</v>
      </c>
      <c r="N20" s="26">
        <v>-49286.32</v>
      </c>
      <c r="O20" s="26">
        <v>-49286.32</v>
      </c>
      <c r="P20" s="50">
        <v>-49286.32</v>
      </c>
      <c r="Q20" s="51">
        <v>-49286.32</v>
      </c>
      <c r="R20" s="50">
        <v>-49286.32</v>
      </c>
      <c r="S20" s="50">
        <v>-49286.32</v>
      </c>
      <c r="T20" s="50">
        <v>-49286.32</v>
      </c>
      <c r="U20" s="50">
        <v>-49286.32</v>
      </c>
      <c r="V20" s="50">
        <v>-49286.32</v>
      </c>
      <c r="W20" s="50">
        <v>-49286.32</v>
      </c>
      <c r="X20" s="50">
        <v>-49286.32</v>
      </c>
      <c r="Y20" s="50">
        <v>-49286.32</v>
      </c>
      <c r="Z20" s="50">
        <v>-49286.32</v>
      </c>
      <c r="AA20" s="50">
        <v>-49286.32</v>
      </c>
      <c r="AB20" s="50">
        <v>-49286.32</v>
      </c>
      <c r="AC20" s="50">
        <v>-49286.32</v>
      </c>
      <c r="AD20" s="50">
        <v>-49286.32</v>
      </c>
      <c r="AE20" s="50">
        <v>-49286.32</v>
      </c>
      <c r="AF20" s="50">
        <v>-49286.32</v>
      </c>
      <c r="AG20" s="50">
        <v>-49286.32</v>
      </c>
      <c r="AH20" s="50">
        <v>-49286.32</v>
      </c>
      <c r="AI20" s="50">
        <v>-49286.32</v>
      </c>
      <c r="AJ20" s="50">
        <v>-49286.32</v>
      </c>
      <c r="AK20" s="50">
        <v>-49286.32</v>
      </c>
      <c r="AL20" s="50">
        <v>-49286.32</v>
      </c>
      <c r="AM20" s="50">
        <v>-49286.32</v>
      </c>
      <c r="AN20" s="50">
        <v>-49286.32</v>
      </c>
      <c r="AO20" s="50">
        <v>-49286.32</v>
      </c>
      <c r="AP20" s="50">
        <v>-49286.32</v>
      </c>
      <c r="AQ20" s="50">
        <v>-49286.32</v>
      </c>
      <c r="AR20" s="18">
        <v>-49286.32</v>
      </c>
      <c r="AS20" s="18">
        <v>-49286.32</v>
      </c>
      <c r="AT20" s="26">
        <v>-49286.32</v>
      </c>
      <c r="AU20" s="9">
        <v>-49286.32</v>
      </c>
      <c r="AV20" s="9">
        <v>-52772.84</v>
      </c>
      <c r="AW20" s="11">
        <v>-52772.84</v>
      </c>
      <c r="AX20" s="9">
        <v>-52772.84</v>
      </c>
      <c r="AY20" s="9">
        <v>-52772.84</v>
      </c>
      <c r="AZ20" s="9">
        <v>-52772.84</v>
      </c>
      <c r="BA20" s="9">
        <v>-49435.3</v>
      </c>
      <c r="BB20" s="9">
        <v>-49435.3</v>
      </c>
      <c r="BC20" s="9">
        <v>-49435.3</v>
      </c>
      <c r="BD20" s="9">
        <v>-49435.3</v>
      </c>
      <c r="BE20" s="9">
        <v>-49435.3</v>
      </c>
      <c r="BF20" s="9">
        <v>-49435.3</v>
      </c>
      <c r="BG20" s="9">
        <v>-49435.3</v>
      </c>
      <c r="BH20" s="9">
        <v>-49435.3</v>
      </c>
      <c r="BI20" s="9">
        <v>-49435.3</v>
      </c>
      <c r="BJ20" s="9">
        <v>-49435.3</v>
      </c>
      <c r="BK20" s="9">
        <v>-49435.3</v>
      </c>
      <c r="BL20" s="9">
        <v>-49435.3</v>
      </c>
      <c r="BM20" s="9">
        <v>-49532.62</v>
      </c>
      <c r="BN20" s="9">
        <v>-49532.62</v>
      </c>
      <c r="BO20" s="9">
        <v>-49532.62</v>
      </c>
      <c r="BP20" s="9">
        <v>-49532.62</v>
      </c>
      <c r="BQ20" s="9">
        <v>-49532.62</v>
      </c>
      <c r="BR20" s="9">
        <v>-49532.62</v>
      </c>
      <c r="BS20" s="9">
        <v>-49532.62</v>
      </c>
      <c r="BT20" s="9">
        <v>-49532.62</v>
      </c>
      <c r="BU20" s="9">
        <v>-49532.62</v>
      </c>
      <c r="BV20" s="9">
        <v>-49532.62</v>
      </c>
      <c r="BW20" s="9">
        <v>-49532.62</v>
      </c>
      <c r="BX20" s="9">
        <v>-49532.62</v>
      </c>
      <c r="BY20" s="26">
        <v>-50647.44</v>
      </c>
      <c r="BZ20" s="26">
        <v>-48110.63</v>
      </c>
      <c r="CA20" s="26">
        <v>-47041.58</v>
      </c>
      <c r="CB20" s="26">
        <v>-47041.58</v>
      </c>
      <c r="CC20" s="26">
        <v>-47041.58</v>
      </c>
      <c r="CD20" s="10">
        <v>-47041.58</v>
      </c>
      <c r="CE20" s="10">
        <v>-47041.58</v>
      </c>
      <c r="CF20" s="10">
        <v>-47041.58</v>
      </c>
      <c r="CG20" s="10">
        <v>-47041.58</v>
      </c>
      <c r="CH20" s="10">
        <v>-47041.58</v>
      </c>
      <c r="CI20" s="10">
        <v>-47041.58</v>
      </c>
      <c r="CJ20" s="10">
        <v>-47041.58</v>
      </c>
      <c r="CK20" s="10">
        <v>-46210.35</v>
      </c>
      <c r="CL20" s="10">
        <v>-46210.35</v>
      </c>
      <c r="CM20" s="10">
        <v>-46210.35</v>
      </c>
      <c r="CN20" s="10">
        <v>-46210.35</v>
      </c>
      <c r="CO20" s="10">
        <v>-46210.35</v>
      </c>
      <c r="CP20" s="10">
        <v>-46210.35</v>
      </c>
      <c r="CQ20" s="10">
        <v>-46210.35</v>
      </c>
      <c r="CR20" s="10">
        <v>-46210.35</v>
      </c>
      <c r="CS20" s="10">
        <v>-46210.35</v>
      </c>
      <c r="CT20" s="10">
        <v>-46210.35</v>
      </c>
      <c r="CU20" s="10">
        <v>-46210.35</v>
      </c>
      <c r="CV20" s="10">
        <v>-47919.53</v>
      </c>
      <c r="CW20" s="10">
        <v>-47919.53</v>
      </c>
      <c r="CX20" s="10">
        <v>-47919.53</v>
      </c>
      <c r="CY20" s="10">
        <v>-47919.53</v>
      </c>
      <c r="CZ20" s="10">
        <v>-47919.53</v>
      </c>
      <c r="DA20" s="10">
        <v>-47919.53</v>
      </c>
      <c r="DB20" s="10">
        <v>-47919.53</v>
      </c>
      <c r="DC20" s="10">
        <v>-47919.53</v>
      </c>
      <c r="DD20" s="10">
        <v>-47919.53</v>
      </c>
      <c r="DE20" s="10">
        <v>-47919.53</v>
      </c>
      <c r="DF20" s="10">
        <v>-47919.53</v>
      </c>
      <c r="DG20" s="10">
        <v>-47919.53</v>
      </c>
    </row>
    <row r="21" spans="1:111" ht="15.75" customHeight="1" x14ac:dyDescent="0.25">
      <c r="A21" s="1" t="s">
        <v>45</v>
      </c>
      <c r="E21" s="28">
        <f t="shared" ref="E21:F21" si="36">SUM(E19:E20)</f>
        <v>181583.78</v>
      </c>
      <c r="F21" s="28">
        <f t="shared" si="36"/>
        <v>173635.07</v>
      </c>
      <c r="G21" s="28">
        <f t="shared" ref="G21:H21" si="37">SUM(G19:G20)</f>
        <v>175790.65</v>
      </c>
      <c r="H21" s="28">
        <f t="shared" si="37"/>
        <v>178881.25</v>
      </c>
      <c r="I21" s="28">
        <f t="shared" ref="I21:J21" si="38">SUM(I19:I20)</f>
        <v>177749.49</v>
      </c>
      <c r="J21" s="28">
        <f t="shared" si="38"/>
        <v>179982.63</v>
      </c>
      <c r="K21" s="28">
        <f t="shared" ref="K21:L21" si="39">SUM(K19:K20)</f>
        <v>185330.85</v>
      </c>
      <c r="L21" s="28">
        <f t="shared" si="39"/>
        <v>191504.5</v>
      </c>
      <c r="M21" s="28">
        <f t="shared" ref="M21:N21" si="40">SUM(M19:M20)</f>
        <v>199780.6</v>
      </c>
      <c r="N21" s="28">
        <f t="shared" si="40"/>
        <v>193833.88999999998</v>
      </c>
      <c r="O21" s="28">
        <f t="shared" ref="O21:P21" si="41">SUM(O19:O20)</f>
        <v>191845.13999999998</v>
      </c>
      <c r="P21" s="28">
        <f t="shared" si="41"/>
        <v>192747.33</v>
      </c>
      <c r="Q21" s="66">
        <f t="shared" ref="Q21:CB21" si="42">SUM(Q19:Q20)</f>
        <v>195438.78</v>
      </c>
      <c r="R21" s="28">
        <f t="shared" si="42"/>
        <v>177339.22999999998</v>
      </c>
      <c r="S21" s="28">
        <f t="shared" si="42"/>
        <v>177321.96</v>
      </c>
      <c r="T21" s="28">
        <f t="shared" si="42"/>
        <v>180224.00999999998</v>
      </c>
      <c r="U21" s="28">
        <f t="shared" si="42"/>
        <v>183224.97</v>
      </c>
      <c r="V21" s="28">
        <f t="shared" si="42"/>
        <v>184999.81</v>
      </c>
      <c r="W21" s="28">
        <f t="shared" si="42"/>
        <v>186885.91</v>
      </c>
      <c r="X21" s="28">
        <f t="shared" si="42"/>
        <v>193470.61</v>
      </c>
      <c r="Y21" s="28">
        <f t="shared" si="42"/>
        <v>198415.74</v>
      </c>
      <c r="Z21" s="28">
        <f t="shared" si="42"/>
        <v>186591.55</v>
      </c>
      <c r="AA21" s="28">
        <f t="shared" si="42"/>
        <v>185176.12</v>
      </c>
      <c r="AB21" s="28">
        <f t="shared" si="42"/>
        <v>183264.75</v>
      </c>
      <c r="AC21" s="28">
        <f t="shared" si="42"/>
        <v>177937.13999999998</v>
      </c>
      <c r="AD21" s="28">
        <f t="shared" si="42"/>
        <v>173004.96</v>
      </c>
      <c r="AE21" s="28">
        <f t="shared" si="42"/>
        <v>173678.09</v>
      </c>
      <c r="AF21" s="28">
        <f t="shared" si="42"/>
        <v>170778.77</v>
      </c>
      <c r="AG21" s="28">
        <f t="shared" si="42"/>
        <v>170159.25999999998</v>
      </c>
      <c r="AH21" s="28">
        <f t="shared" si="42"/>
        <v>172619.13999999998</v>
      </c>
      <c r="AI21" s="28">
        <f t="shared" si="42"/>
        <v>172090</v>
      </c>
      <c r="AJ21" s="28">
        <f t="shared" si="42"/>
        <v>177254.55</v>
      </c>
      <c r="AK21" s="28">
        <f t="shared" si="42"/>
        <v>179251.13999999998</v>
      </c>
      <c r="AL21" s="28">
        <f t="shared" si="42"/>
        <v>168952.44</v>
      </c>
      <c r="AM21" s="28">
        <f t="shared" si="42"/>
        <v>168344.9</v>
      </c>
      <c r="AN21" s="28">
        <f t="shared" si="42"/>
        <v>166513.47</v>
      </c>
      <c r="AO21" s="28">
        <f t="shared" si="42"/>
        <v>164431.18</v>
      </c>
      <c r="AP21" s="28">
        <f t="shared" si="42"/>
        <v>151168.84</v>
      </c>
      <c r="AQ21" s="28">
        <f t="shared" si="42"/>
        <v>149887.75999999998</v>
      </c>
      <c r="AR21" s="28">
        <f t="shared" si="42"/>
        <v>149585.59</v>
      </c>
      <c r="AS21" s="28">
        <f t="shared" si="42"/>
        <v>152346.71</v>
      </c>
      <c r="AT21" s="57">
        <f t="shared" si="42"/>
        <v>149141.03999999998</v>
      </c>
      <c r="AU21" s="28">
        <f t="shared" si="42"/>
        <v>152478.43</v>
      </c>
      <c r="AV21" s="28">
        <f t="shared" si="42"/>
        <v>151317.34</v>
      </c>
      <c r="AW21" s="58">
        <f t="shared" si="42"/>
        <v>152038.32</v>
      </c>
      <c r="AX21" s="28">
        <f t="shared" si="42"/>
        <v>154653.85</v>
      </c>
      <c r="AY21" s="28">
        <f t="shared" si="42"/>
        <v>155898.82</v>
      </c>
      <c r="AZ21" s="28">
        <f t="shared" si="42"/>
        <v>153058.57</v>
      </c>
      <c r="BA21" s="28">
        <f t="shared" si="42"/>
        <v>146964.96999999997</v>
      </c>
      <c r="BB21" s="28">
        <f t="shared" si="42"/>
        <v>133937.41999999998</v>
      </c>
      <c r="BC21" s="28">
        <f t="shared" si="42"/>
        <v>137883.27000000002</v>
      </c>
      <c r="BD21" s="28">
        <f t="shared" si="42"/>
        <v>143254.41999999998</v>
      </c>
      <c r="BE21" s="28">
        <f t="shared" si="42"/>
        <v>147052.95000000001</v>
      </c>
      <c r="BF21" s="28">
        <f t="shared" si="42"/>
        <v>150504.65999999997</v>
      </c>
      <c r="BG21" s="28">
        <f t="shared" si="42"/>
        <v>157074.32</v>
      </c>
      <c r="BH21" s="28">
        <f t="shared" si="42"/>
        <v>158591.07</v>
      </c>
      <c r="BI21" s="28">
        <f t="shared" si="42"/>
        <v>177154.25</v>
      </c>
      <c r="BJ21" s="28">
        <f t="shared" si="42"/>
        <v>187530.7</v>
      </c>
      <c r="BK21" s="28">
        <f t="shared" si="42"/>
        <v>167101.62</v>
      </c>
      <c r="BL21" s="28">
        <f t="shared" si="42"/>
        <v>159417.58000000002</v>
      </c>
      <c r="BM21" s="28">
        <f t="shared" si="42"/>
        <v>158551.72</v>
      </c>
      <c r="BN21" s="28">
        <f t="shared" si="42"/>
        <v>141377.95000000001</v>
      </c>
      <c r="BO21" s="28">
        <f t="shared" si="42"/>
        <v>145576.92000000001</v>
      </c>
      <c r="BP21" s="28">
        <f t="shared" si="42"/>
        <v>147128.78</v>
      </c>
      <c r="BQ21" s="28">
        <f t="shared" si="42"/>
        <v>148529.69</v>
      </c>
      <c r="BR21" s="28">
        <f t="shared" si="42"/>
        <v>151828.05000000002</v>
      </c>
      <c r="BS21" s="28">
        <f t="shared" si="42"/>
        <v>155762.79</v>
      </c>
      <c r="BT21" s="28">
        <f t="shared" si="42"/>
        <v>172904.24</v>
      </c>
      <c r="BU21" s="28">
        <f t="shared" si="42"/>
        <v>173682.12</v>
      </c>
      <c r="BV21" s="28">
        <f t="shared" si="42"/>
        <v>175908.64</v>
      </c>
      <c r="BW21" s="28">
        <f t="shared" si="42"/>
        <v>150538.06</v>
      </c>
      <c r="BX21" s="28">
        <f t="shared" si="42"/>
        <v>140759.75</v>
      </c>
      <c r="BY21" s="28">
        <f t="shared" si="42"/>
        <v>132803.59</v>
      </c>
      <c r="BZ21" s="28">
        <f t="shared" si="42"/>
        <v>117417.23999999999</v>
      </c>
      <c r="CA21" s="28">
        <f t="shared" si="42"/>
        <v>122663.83</v>
      </c>
      <c r="CB21" s="28">
        <f t="shared" si="42"/>
        <v>124556.49</v>
      </c>
      <c r="CC21" s="28">
        <f t="shared" ref="CC21:DG21" si="43">SUM(CC19:CC20)</f>
        <v>124633.46999999999</v>
      </c>
      <c r="CD21" s="28">
        <f t="shared" si="43"/>
        <v>127138.29</v>
      </c>
      <c r="CE21" s="28">
        <f t="shared" si="43"/>
        <v>148996.09999999998</v>
      </c>
      <c r="CF21" s="28">
        <f t="shared" si="43"/>
        <v>154181.21999999997</v>
      </c>
      <c r="CG21" s="28">
        <f t="shared" si="43"/>
        <v>152310.01</v>
      </c>
      <c r="CH21" s="28">
        <f t="shared" si="43"/>
        <v>135536.79999999999</v>
      </c>
      <c r="CI21" s="28">
        <f t="shared" si="43"/>
        <v>125932.90999999999</v>
      </c>
      <c r="CJ21" s="28">
        <f t="shared" si="43"/>
        <v>121815.62999999999</v>
      </c>
      <c r="CK21" s="28">
        <f t="shared" si="43"/>
        <v>92026.03</v>
      </c>
      <c r="CL21" s="28">
        <f t="shared" si="43"/>
        <v>93703.75</v>
      </c>
      <c r="CM21" s="28">
        <f t="shared" si="43"/>
        <v>90687.62</v>
      </c>
      <c r="CN21" s="28">
        <f t="shared" si="43"/>
        <v>86943.799999999988</v>
      </c>
      <c r="CO21" s="28">
        <f t="shared" si="43"/>
        <v>94845.94</v>
      </c>
      <c r="CP21" s="28">
        <f t="shared" si="43"/>
        <v>100262.51999999999</v>
      </c>
      <c r="CQ21" s="28">
        <f t="shared" si="43"/>
        <v>125083.9</v>
      </c>
      <c r="CR21" s="28">
        <f t="shared" si="43"/>
        <v>125332.93</v>
      </c>
      <c r="CS21" s="28">
        <f t="shared" si="43"/>
        <v>109714.4</v>
      </c>
      <c r="CT21" s="28">
        <f t="shared" si="43"/>
        <v>108287.75</v>
      </c>
      <c r="CU21" s="28">
        <f t="shared" si="43"/>
        <v>106160.79000000001</v>
      </c>
      <c r="CV21" s="28">
        <f t="shared" si="43"/>
        <v>72468.790000000008</v>
      </c>
      <c r="CW21" s="28">
        <f t="shared" si="43"/>
        <v>52000.66</v>
      </c>
      <c r="CX21" s="28">
        <f t="shared" si="43"/>
        <v>53319.350000000006</v>
      </c>
      <c r="CY21" s="28">
        <f t="shared" si="43"/>
        <v>57719.56</v>
      </c>
      <c r="CZ21" s="28">
        <f t="shared" si="43"/>
        <v>61073.009999999995</v>
      </c>
      <c r="DA21" s="28">
        <f t="shared" si="43"/>
        <v>64517.91</v>
      </c>
      <c r="DB21" s="28">
        <f t="shared" si="43"/>
        <v>65714.16</v>
      </c>
      <c r="DC21" s="28">
        <f t="shared" si="43"/>
        <v>67885.66</v>
      </c>
      <c r="DD21" s="28">
        <f t="shared" si="43"/>
        <v>109753.20999999999</v>
      </c>
      <c r="DE21" s="28">
        <f t="shared" si="43"/>
        <v>117027.68</v>
      </c>
      <c r="DF21" s="28">
        <f t="shared" si="43"/>
        <v>106655.97</v>
      </c>
      <c r="DG21" s="28">
        <f t="shared" si="43"/>
        <v>103333.95000000001</v>
      </c>
    </row>
    <row r="22" spans="1:111" ht="15.75" customHeight="1" x14ac:dyDescent="0.25"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5"/>
      <c r="Q22" s="21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7"/>
      <c r="AJ22" s="17"/>
      <c r="AK22" s="17"/>
      <c r="AL22" s="15"/>
      <c r="AM22" s="17"/>
      <c r="AN22" s="17"/>
      <c r="AO22" s="17"/>
      <c r="AP22" s="17"/>
      <c r="AQ22" s="17"/>
      <c r="AR22" s="14"/>
      <c r="AS22" s="16"/>
      <c r="AT22" s="1"/>
      <c r="AU22" s="1"/>
    </row>
    <row r="23" spans="1:111" ht="15.75" customHeight="1" x14ac:dyDescent="0.25">
      <c r="A23" s="75" t="s">
        <v>51</v>
      </c>
      <c r="D23" s="1" t="s">
        <v>52</v>
      </c>
      <c r="E23" s="25">
        <v>17389.330000000002</v>
      </c>
      <c r="F23" s="25">
        <v>17367.07</v>
      </c>
      <c r="G23" s="25">
        <v>14080.98</v>
      </c>
      <c r="H23" s="25">
        <v>14080.98</v>
      </c>
      <c r="I23" s="25">
        <v>14080.98</v>
      </c>
      <c r="J23" s="25">
        <v>14080.98</v>
      </c>
      <c r="K23" s="25">
        <v>14080.98</v>
      </c>
      <c r="L23" s="25">
        <v>14080.98</v>
      </c>
      <c r="M23" s="25">
        <v>15430.98</v>
      </c>
      <c r="N23" s="25">
        <v>6570.2</v>
      </c>
      <c r="O23" s="25">
        <v>-55.23</v>
      </c>
      <c r="P23" s="45">
        <v>-55.23</v>
      </c>
      <c r="Q23" s="46">
        <v>16753.84</v>
      </c>
      <c r="R23" s="45">
        <v>16758.93</v>
      </c>
      <c r="S23" s="45">
        <v>16916.72</v>
      </c>
      <c r="T23" s="45">
        <v>16925.97</v>
      </c>
      <c r="U23" s="45">
        <v>16925.97</v>
      </c>
      <c r="V23" s="45">
        <v>16925.97</v>
      </c>
      <c r="W23" s="45">
        <v>16925.97</v>
      </c>
      <c r="X23" s="45">
        <v>16925.97</v>
      </c>
      <c r="Y23" s="45">
        <v>19332.150000000001</v>
      </c>
      <c r="Z23" s="45">
        <v>5827.48</v>
      </c>
      <c r="AA23" s="45">
        <v>-220.91</v>
      </c>
      <c r="AB23" s="45">
        <v>-220.91</v>
      </c>
      <c r="AC23" s="45">
        <v>12075.39</v>
      </c>
      <c r="AD23" s="45">
        <v>12085.57</v>
      </c>
      <c r="AE23" s="45">
        <v>12186.24</v>
      </c>
      <c r="AF23" s="45">
        <v>12314.2</v>
      </c>
      <c r="AG23" s="45">
        <v>12314.2</v>
      </c>
      <c r="AH23" s="45">
        <v>12314.2</v>
      </c>
      <c r="AI23" s="45">
        <v>12314.2</v>
      </c>
      <c r="AJ23" s="45">
        <v>12314.2</v>
      </c>
      <c r="AK23" s="45">
        <v>12680.2</v>
      </c>
      <c r="AL23" s="45">
        <v>2052.88</v>
      </c>
      <c r="AM23" s="45">
        <v>0</v>
      </c>
      <c r="AN23" s="45">
        <v>0</v>
      </c>
      <c r="AO23" s="45">
        <v>9553.5400000000009</v>
      </c>
      <c r="AP23" s="45">
        <v>9872.83</v>
      </c>
      <c r="AQ23" s="45">
        <v>9891.52</v>
      </c>
      <c r="AR23" s="19">
        <v>9914.73</v>
      </c>
      <c r="AS23" s="19">
        <v>9914.73</v>
      </c>
      <c r="AT23" s="25">
        <v>9914.73</v>
      </c>
      <c r="AU23" s="25">
        <v>9914.73</v>
      </c>
      <c r="AV23" s="25">
        <v>9977.82</v>
      </c>
      <c r="AW23" s="25"/>
      <c r="AX23" s="25"/>
      <c r="AY23" s="25"/>
      <c r="AZ23" s="25"/>
      <c r="BA23" s="25">
        <v>2159.13</v>
      </c>
      <c r="BB23" s="25">
        <v>2059.13</v>
      </c>
      <c r="BC23" s="25">
        <v>2059.13</v>
      </c>
      <c r="BD23" s="25">
        <v>2059.13</v>
      </c>
      <c r="BE23" s="25">
        <v>2059.13</v>
      </c>
      <c r="BF23" s="25">
        <v>2059.13</v>
      </c>
      <c r="BG23" s="25">
        <v>2059.13</v>
      </c>
      <c r="BH23" s="25">
        <v>2059.13</v>
      </c>
      <c r="BI23" s="25"/>
      <c r="BJ23" s="25"/>
      <c r="BK23" s="25"/>
      <c r="BL23" s="25"/>
      <c r="BM23" s="25">
        <v>15327.16</v>
      </c>
      <c r="BN23" s="25">
        <v>15327.16</v>
      </c>
      <c r="BO23" s="25">
        <v>15327.16</v>
      </c>
      <c r="BP23" s="25">
        <v>15327.16</v>
      </c>
      <c r="BQ23" s="25">
        <v>15327.16</v>
      </c>
      <c r="BR23" s="25">
        <v>15327.16</v>
      </c>
      <c r="BS23" s="25">
        <v>15327.16</v>
      </c>
      <c r="BT23" s="25">
        <v>15327.16</v>
      </c>
      <c r="BY23" s="59">
        <v>11273.89</v>
      </c>
      <c r="BZ23" s="59">
        <v>11273.89</v>
      </c>
      <c r="CA23" s="59">
        <v>11273.89</v>
      </c>
      <c r="CB23" s="59">
        <v>11273.89</v>
      </c>
      <c r="CC23" s="59">
        <v>11273.89</v>
      </c>
      <c r="CD23" s="59">
        <v>11273.89</v>
      </c>
      <c r="CE23" s="59"/>
      <c r="CF23" s="59"/>
      <c r="CG23" s="59"/>
      <c r="CH23" s="59"/>
      <c r="CI23" s="59"/>
      <c r="CJ23" s="59"/>
      <c r="CK23" s="59">
        <v>12836.49</v>
      </c>
      <c r="CL23" s="59">
        <v>13124.2</v>
      </c>
      <c r="CM23" s="59">
        <v>13755</v>
      </c>
      <c r="CN23" s="59">
        <v>13755</v>
      </c>
      <c r="CO23" s="59">
        <v>13755</v>
      </c>
      <c r="CP23" s="59">
        <v>15375.21</v>
      </c>
      <c r="CQ23" s="60" t="s">
        <v>53</v>
      </c>
      <c r="CR23" s="60" t="s">
        <v>53</v>
      </c>
      <c r="CS23" s="60" t="s">
        <v>53</v>
      </c>
      <c r="CT23" s="60" t="s">
        <v>53</v>
      </c>
      <c r="CU23" s="60" t="s">
        <v>53</v>
      </c>
      <c r="CV23" s="59">
        <v>-17550.150000000001</v>
      </c>
      <c r="CW23" s="59">
        <v>-17550.150000000001</v>
      </c>
      <c r="CX23" s="59">
        <v>-17550.150000000001</v>
      </c>
      <c r="CY23" s="59">
        <v>-15778.35</v>
      </c>
      <c r="CZ23" s="59">
        <v>-15778.35</v>
      </c>
      <c r="DA23" s="59">
        <v>-15778.35</v>
      </c>
      <c r="DB23" s="59">
        <v>-15778.35</v>
      </c>
      <c r="DC23" s="59">
        <v>-15191.85</v>
      </c>
      <c r="DD23" s="60" t="s">
        <v>53</v>
      </c>
      <c r="DE23" s="60" t="s">
        <v>53</v>
      </c>
      <c r="DF23" s="60" t="s">
        <v>53</v>
      </c>
      <c r="DG23" s="60" t="s">
        <v>53</v>
      </c>
    </row>
    <row r="24" spans="1:111" ht="15.75" customHeight="1" x14ac:dyDescent="0.25"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E24" s="17"/>
      <c r="AF24" s="17"/>
      <c r="AG24" s="17"/>
      <c r="AH24" s="17"/>
      <c r="AI24" s="17"/>
      <c r="AJ24" s="17"/>
      <c r="AK24" s="17"/>
      <c r="AM24" s="17"/>
      <c r="AN24" s="17"/>
      <c r="AO24" s="17"/>
      <c r="AP24" s="17"/>
      <c r="AQ24" s="17"/>
      <c r="AR24" s="14"/>
      <c r="AS24" s="16"/>
      <c r="AT24" s="1"/>
      <c r="AU24" s="1"/>
    </row>
    <row r="25" spans="1:111" ht="15.75" customHeight="1" x14ac:dyDescent="0.25">
      <c r="AQ25" s="17"/>
      <c r="AR25" s="14"/>
      <c r="AS25" s="16"/>
      <c r="AT25" s="1"/>
      <c r="AU25" s="1"/>
      <c r="CK25" s="48"/>
      <c r="CL25" s="48"/>
    </row>
    <row r="26" spans="1:111" ht="15.75" customHeight="1" x14ac:dyDescent="0.25">
      <c r="D26" s="1" t="s">
        <v>54</v>
      </c>
      <c r="AQ26" s="17"/>
      <c r="AR26" s="14"/>
      <c r="AS26" s="16"/>
      <c r="AT26" s="1"/>
      <c r="AU26" s="1"/>
      <c r="CD26" s="61"/>
      <c r="CE26" s="61"/>
      <c r="CF26" s="61"/>
      <c r="CG26" s="61"/>
      <c r="CH26" s="61"/>
      <c r="CI26" s="61"/>
      <c r="CJ26" s="61"/>
      <c r="CT26" s="48"/>
    </row>
    <row r="27" spans="1:111" ht="15.75" customHeight="1" x14ac:dyDescent="0.25">
      <c r="AQ27" s="17"/>
      <c r="AR27" s="14"/>
      <c r="AS27" s="16"/>
      <c r="AT27" s="1"/>
      <c r="AU27" s="1"/>
    </row>
    <row r="28" spans="1:111" ht="15.75" customHeight="1" x14ac:dyDescent="0.25">
      <c r="AQ28" s="17"/>
      <c r="AR28" s="14"/>
      <c r="AS28" s="16"/>
      <c r="AT28" s="15"/>
      <c r="AU28" s="1"/>
    </row>
    <row r="29" spans="1:111" ht="15.75" customHeight="1" x14ac:dyDescent="0.25">
      <c r="AQ29" s="17"/>
      <c r="AR29" s="14"/>
      <c r="AS29" s="16"/>
      <c r="AT29" s="1"/>
      <c r="AU29" s="1"/>
    </row>
    <row r="30" spans="1:111" ht="15.75" customHeight="1" x14ac:dyDescent="0.25">
      <c r="AQ30" s="17"/>
      <c r="AR30" s="14"/>
      <c r="AS30" s="16"/>
      <c r="AT30" s="1"/>
      <c r="AU30" s="1"/>
      <c r="CT30" s="48"/>
    </row>
    <row r="31" spans="1:111" ht="15.75" customHeight="1" x14ac:dyDescent="0.25">
      <c r="AQ31" s="17"/>
      <c r="AR31" s="14"/>
      <c r="AS31" s="16"/>
      <c r="AT31" s="1"/>
      <c r="AU31" s="1"/>
    </row>
    <row r="32" spans="1:111" ht="15.75" customHeight="1" x14ac:dyDescent="0.25">
      <c r="AQ32" s="17"/>
      <c r="AR32" s="14"/>
      <c r="AS32" s="16"/>
      <c r="AT32" s="1"/>
      <c r="AU32" s="1"/>
    </row>
    <row r="33" spans="43:47" ht="15.75" customHeight="1" x14ac:dyDescent="0.25">
      <c r="AQ33" s="17"/>
      <c r="AR33" s="14"/>
      <c r="AS33" s="16"/>
      <c r="AT33" s="1"/>
      <c r="AU33" s="1"/>
    </row>
    <row r="34" spans="43:47" ht="15.75" customHeight="1" x14ac:dyDescent="0.25">
      <c r="AQ34" s="17"/>
      <c r="AR34" s="14"/>
      <c r="AS34" s="16"/>
      <c r="AT34" s="1"/>
      <c r="AU34" s="1"/>
    </row>
    <row r="35" spans="43:47" ht="15.75" customHeight="1" x14ac:dyDescent="0.25">
      <c r="AQ35" s="17"/>
      <c r="AR35" s="14"/>
      <c r="AS35" s="16"/>
      <c r="AT35" s="1"/>
      <c r="AU35" s="1"/>
    </row>
    <row r="36" spans="43:47" ht="15.75" customHeight="1" x14ac:dyDescent="0.25">
      <c r="AQ36" s="17"/>
      <c r="AR36" s="14"/>
      <c r="AS36" s="16"/>
      <c r="AT36" s="1"/>
      <c r="AU36" s="1"/>
    </row>
    <row r="37" spans="43:47" ht="15.75" customHeight="1" x14ac:dyDescent="0.25">
      <c r="AR37" s="6"/>
      <c r="AS37" s="7"/>
      <c r="AT37" s="1"/>
      <c r="AU37" s="1"/>
    </row>
    <row r="38" spans="43:47" ht="15.75" customHeight="1" x14ac:dyDescent="0.25">
      <c r="AR38" s="6"/>
      <c r="AS38" s="7"/>
      <c r="AT38" s="1"/>
      <c r="AU38" s="1"/>
    </row>
    <row r="39" spans="43:47" ht="15.75" customHeight="1" x14ac:dyDescent="0.25">
      <c r="AR39" s="6"/>
      <c r="AS39" s="7"/>
      <c r="AT39" s="1"/>
      <c r="AU39" s="1"/>
    </row>
    <row r="40" spans="43:47" ht="15.75" customHeight="1" x14ac:dyDescent="0.25">
      <c r="AR40" s="6"/>
      <c r="AS40" s="7"/>
      <c r="AT40" s="1"/>
      <c r="AU40" s="1"/>
    </row>
    <row r="41" spans="43:47" ht="15.75" customHeight="1" x14ac:dyDescent="0.25">
      <c r="AR41" s="6"/>
      <c r="AS41" s="7"/>
      <c r="AT41" s="1"/>
      <c r="AU41" s="1"/>
    </row>
    <row r="42" spans="43:47" ht="15.75" customHeight="1" x14ac:dyDescent="0.25">
      <c r="AR42" s="6"/>
      <c r="AS42" s="7"/>
      <c r="AT42" s="1"/>
      <c r="AU42" s="1"/>
    </row>
    <row r="43" spans="43:47" ht="15.75" customHeight="1" x14ac:dyDescent="0.25">
      <c r="AR43" s="6"/>
      <c r="AS43" s="7"/>
      <c r="AT43" s="1"/>
      <c r="AU43" s="1"/>
    </row>
    <row r="44" spans="43:47" ht="15.75" customHeight="1" x14ac:dyDescent="0.25">
      <c r="AR44" s="6"/>
      <c r="AS44" s="7"/>
      <c r="AT44" s="1"/>
      <c r="AU44" s="1"/>
    </row>
    <row r="45" spans="43:47" ht="15.75" customHeight="1" x14ac:dyDescent="0.25">
      <c r="AR45" s="6"/>
      <c r="AS45" s="7"/>
      <c r="AT45" s="1"/>
      <c r="AU45" s="1"/>
    </row>
    <row r="46" spans="43:47" ht="15.75" customHeight="1" x14ac:dyDescent="0.25">
      <c r="AR46" s="6"/>
      <c r="AS46" s="7"/>
      <c r="AT46" s="1"/>
      <c r="AU46" s="1"/>
    </row>
    <row r="47" spans="43:47" ht="15.75" customHeight="1" x14ac:dyDescent="0.25">
      <c r="AR47" s="6"/>
      <c r="AS47" s="7"/>
      <c r="AT47" s="1"/>
      <c r="AU47" s="1"/>
    </row>
    <row r="48" spans="43:47" ht="15.75" customHeight="1" x14ac:dyDescent="0.25">
      <c r="AR48" s="6"/>
      <c r="AS48" s="7"/>
      <c r="AT48" s="1"/>
      <c r="AU48" s="1"/>
    </row>
    <row r="49" spans="44:47" ht="15.75" customHeight="1" x14ac:dyDescent="0.25">
      <c r="AR49" s="6"/>
      <c r="AS49" s="7"/>
      <c r="AT49" s="1"/>
      <c r="AU49" s="1"/>
    </row>
    <row r="50" spans="44:47" ht="15.75" customHeight="1" x14ac:dyDescent="0.25">
      <c r="AR50" s="6"/>
      <c r="AS50" s="7"/>
      <c r="AT50" s="1"/>
      <c r="AU50" s="1"/>
    </row>
    <row r="51" spans="44:47" ht="15.75" customHeight="1" x14ac:dyDescent="0.25">
      <c r="AR51" s="6"/>
      <c r="AS51" s="7"/>
      <c r="AT51" s="1"/>
      <c r="AU51" s="1"/>
    </row>
    <row r="52" spans="44:47" ht="15.75" customHeight="1" x14ac:dyDescent="0.25">
      <c r="AR52" s="6"/>
      <c r="AS52" s="7"/>
      <c r="AT52" s="1"/>
      <c r="AU52" s="1"/>
    </row>
    <row r="53" spans="44:47" ht="15.75" customHeight="1" x14ac:dyDescent="0.25">
      <c r="AR53" s="6"/>
      <c r="AS53" s="7"/>
      <c r="AT53" s="1"/>
      <c r="AU53" s="1"/>
    </row>
    <row r="54" spans="44:47" ht="15.75" customHeight="1" x14ac:dyDescent="0.25">
      <c r="AR54" s="6"/>
      <c r="AS54" s="7"/>
      <c r="AT54" s="1"/>
      <c r="AU54" s="1"/>
    </row>
    <row r="55" spans="44:47" ht="15.75" customHeight="1" x14ac:dyDescent="0.25">
      <c r="AR55" s="6"/>
      <c r="AS55" s="7"/>
      <c r="AT55" s="1"/>
      <c r="AU55" s="1"/>
    </row>
    <row r="56" spans="44:47" ht="15.75" customHeight="1" x14ac:dyDescent="0.25">
      <c r="AR56" s="6"/>
      <c r="AS56" s="7"/>
      <c r="AT56" s="1"/>
      <c r="AU56" s="1"/>
    </row>
    <row r="57" spans="44:47" ht="15.75" customHeight="1" x14ac:dyDescent="0.25">
      <c r="AR57" s="6"/>
      <c r="AS57" s="7"/>
      <c r="AT57" s="1"/>
      <c r="AU57" s="1"/>
    </row>
    <row r="58" spans="44:47" ht="15.75" customHeight="1" x14ac:dyDescent="0.25">
      <c r="AR58" s="6"/>
      <c r="AS58" s="7"/>
      <c r="AT58" s="1"/>
      <c r="AU58" s="1"/>
    </row>
    <row r="59" spans="44:47" ht="15.75" customHeight="1" x14ac:dyDescent="0.25">
      <c r="AR59" s="6"/>
      <c r="AS59" s="7"/>
      <c r="AT59" s="1"/>
      <c r="AU59" s="1"/>
    </row>
    <row r="60" spans="44:47" ht="15.75" customHeight="1" x14ac:dyDescent="0.25">
      <c r="AR60" s="6"/>
      <c r="AS60" s="7"/>
      <c r="AT60" s="1"/>
      <c r="AU60" s="1"/>
    </row>
    <row r="61" spans="44:47" ht="15.75" customHeight="1" x14ac:dyDescent="0.25">
      <c r="AR61" s="6"/>
      <c r="AS61" s="7"/>
      <c r="AT61" s="1"/>
      <c r="AU61" s="1"/>
    </row>
    <row r="62" spans="44:47" ht="15.75" customHeight="1" x14ac:dyDescent="0.25">
      <c r="AR62" s="6"/>
      <c r="AS62" s="7"/>
      <c r="AT62" s="1"/>
      <c r="AU62" s="1"/>
    </row>
    <row r="63" spans="44:47" ht="15.75" customHeight="1" x14ac:dyDescent="0.25">
      <c r="AR63" s="6"/>
      <c r="AS63" s="7"/>
      <c r="AT63" s="1"/>
      <c r="AU63" s="1"/>
    </row>
    <row r="64" spans="44:47" ht="15.75" customHeight="1" x14ac:dyDescent="0.25">
      <c r="AR64" s="6"/>
      <c r="AS64" s="7"/>
      <c r="AT64" s="1"/>
      <c r="AU64" s="1"/>
    </row>
    <row r="65" spans="44:47" ht="15.75" customHeight="1" x14ac:dyDescent="0.25">
      <c r="AR65" s="6"/>
      <c r="AS65" s="7"/>
      <c r="AT65" s="1"/>
      <c r="AU65" s="1"/>
    </row>
    <row r="66" spans="44:47" ht="15.75" customHeight="1" x14ac:dyDescent="0.25">
      <c r="AR66" s="6"/>
      <c r="AS66" s="7"/>
      <c r="AT66" s="1"/>
      <c r="AU66" s="1"/>
    </row>
    <row r="67" spans="44:47" ht="15.75" customHeight="1" x14ac:dyDescent="0.25">
      <c r="AR67" s="6"/>
      <c r="AS67" s="7"/>
      <c r="AT67" s="1"/>
      <c r="AU67" s="1"/>
    </row>
    <row r="68" spans="44:47" ht="15.75" customHeight="1" x14ac:dyDescent="0.25">
      <c r="AR68" s="6"/>
      <c r="AS68" s="7"/>
      <c r="AT68" s="1"/>
      <c r="AU68" s="1"/>
    </row>
    <row r="69" spans="44:47" ht="15.75" customHeight="1" x14ac:dyDescent="0.25">
      <c r="AR69" s="6"/>
      <c r="AS69" s="7"/>
      <c r="AT69" s="1"/>
      <c r="AU69" s="1"/>
    </row>
    <row r="70" spans="44:47" ht="15.75" customHeight="1" x14ac:dyDescent="0.25">
      <c r="AR70" s="6"/>
      <c r="AS70" s="7"/>
      <c r="AT70" s="1"/>
      <c r="AU70" s="1"/>
    </row>
    <row r="71" spans="44:47" ht="15.75" customHeight="1" x14ac:dyDescent="0.25">
      <c r="AR71" s="6"/>
      <c r="AS71" s="7"/>
      <c r="AT71" s="1"/>
      <c r="AU71" s="1"/>
    </row>
    <row r="72" spans="44:47" ht="15.75" customHeight="1" x14ac:dyDescent="0.25">
      <c r="AR72" s="6"/>
      <c r="AS72" s="7"/>
      <c r="AT72" s="1"/>
      <c r="AU72" s="1"/>
    </row>
    <row r="73" spans="44:47" ht="15.75" customHeight="1" x14ac:dyDescent="0.25">
      <c r="AR73" s="6"/>
      <c r="AS73" s="7"/>
      <c r="AT73" s="1"/>
      <c r="AU73" s="1"/>
    </row>
    <row r="74" spans="44:47" ht="15.75" customHeight="1" x14ac:dyDescent="0.25">
      <c r="AR74" s="6"/>
      <c r="AS74" s="7"/>
      <c r="AT74" s="1"/>
      <c r="AU74" s="1"/>
    </row>
    <row r="75" spans="44:47" ht="15.75" customHeight="1" x14ac:dyDescent="0.25">
      <c r="AR75" s="6"/>
      <c r="AS75" s="7"/>
      <c r="AT75" s="1"/>
      <c r="AU75" s="1"/>
    </row>
    <row r="76" spans="44:47" ht="15.75" customHeight="1" x14ac:dyDescent="0.25">
      <c r="AR76" s="6"/>
      <c r="AS76" s="7"/>
      <c r="AT76" s="1"/>
      <c r="AU76" s="1"/>
    </row>
    <row r="77" spans="44:47" ht="15.75" customHeight="1" x14ac:dyDescent="0.25">
      <c r="AR77" s="6"/>
      <c r="AS77" s="7"/>
      <c r="AT77" s="1"/>
      <c r="AU77" s="1"/>
    </row>
    <row r="78" spans="44:47" ht="15.75" customHeight="1" x14ac:dyDescent="0.25">
      <c r="AR78" s="6"/>
      <c r="AS78" s="7"/>
      <c r="AT78" s="1"/>
      <c r="AU78" s="1"/>
    </row>
    <row r="79" spans="44:47" ht="15.75" customHeight="1" x14ac:dyDescent="0.25">
      <c r="AR79" s="6"/>
      <c r="AS79" s="7"/>
      <c r="AT79" s="1"/>
      <c r="AU79" s="1"/>
    </row>
    <row r="80" spans="44:47" ht="15.75" customHeight="1" x14ac:dyDescent="0.25">
      <c r="AR80" s="6"/>
      <c r="AS80" s="7"/>
      <c r="AT80" s="1"/>
      <c r="AU80" s="1"/>
    </row>
    <row r="81" spans="44:47" ht="15.75" customHeight="1" x14ac:dyDescent="0.25">
      <c r="AR81" s="6"/>
      <c r="AS81" s="7"/>
      <c r="AT81" s="1"/>
      <c r="AU81" s="1"/>
    </row>
    <row r="82" spans="44:47" ht="15.75" customHeight="1" x14ac:dyDescent="0.25">
      <c r="AR82" s="6"/>
      <c r="AS82" s="7"/>
      <c r="AT82" s="1"/>
      <c r="AU82" s="1"/>
    </row>
    <row r="83" spans="44:47" ht="15.75" customHeight="1" x14ac:dyDescent="0.25">
      <c r="AR83" s="6"/>
      <c r="AS83" s="7"/>
      <c r="AT83" s="1"/>
      <c r="AU83" s="1"/>
    </row>
    <row r="84" spans="44:47" ht="15.75" customHeight="1" x14ac:dyDescent="0.25">
      <c r="AR84" s="6"/>
      <c r="AS84" s="7"/>
      <c r="AT84" s="1"/>
      <c r="AU84" s="1"/>
    </row>
    <row r="85" spans="44:47" ht="15.75" customHeight="1" x14ac:dyDescent="0.25">
      <c r="AR85" s="6"/>
      <c r="AS85" s="7"/>
      <c r="AT85" s="1"/>
      <c r="AU85" s="1"/>
    </row>
    <row r="86" spans="44:47" ht="15.75" customHeight="1" x14ac:dyDescent="0.25">
      <c r="AR86" s="6"/>
      <c r="AS86" s="7"/>
      <c r="AT86" s="1"/>
      <c r="AU86" s="1"/>
    </row>
    <row r="87" spans="44:47" ht="15.75" customHeight="1" x14ac:dyDescent="0.25">
      <c r="AR87" s="6"/>
      <c r="AS87" s="7"/>
      <c r="AT87" s="1"/>
      <c r="AU87" s="1"/>
    </row>
    <row r="88" spans="44:47" ht="15.75" customHeight="1" x14ac:dyDescent="0.25">
      <c r="AR88" s="6"/>
      <c r="AS88" s="7"/>
      <c r="AT88" s="1"/>
      <c r="AU88" s="1"/>
    </row>
    <row r="89" spans="44:47" ht="15.75" customHeight="1" x14ac:dyDescent="0.25">
      <c r="AR89" s="6"/>
      <c r="AS89" s="7"/>
      <c r="AT89" s="1"/>
      <c r="AU89" s="1"/>
    </row>
    <row r="90" spans="44:47" ht="15.75" customHeight="1" x14ac:dyDescent="0.25">
      <c r="AR90" s="6"/>
      <c r="AS90" s="7"/>
      <c r="AT90" s="1"/>
      <c r="AU90" s="1"/>
    </row>
    <row r="91" spans="44:47" ht="15.75" customHeight="1" x14ac:dyDescent="0.25">
      <c r="AR91" s="6"/>
      <c r="AS91" s="7"/>
      <c r="AT91" s="1"/>
      <c r="AU91" s="1"/>
    </row>
    <row r="92" spans="44:47" ht="15.75" customHeight="1" x14ac:dyDescent="0.25">
      <c r="AR92" s="6"/>
      <c r="AS92" s="7"/>
      <c r="AT92" s="1"/>
      <c r="AU92" s="1"/>
    </row>
    <row r="93" spans="44:47" ht="15.75" customHeight="1" x14ac:dyDescent="0.25">
      <c r="AR93" s="6"/>
      <c r="AS93" s="7"/>
      <c r="AT93" s="1"/>
      <c r="AU93" s="1"/>
    </row>
    <row r="94" spans="44:47" ht="15.75" customHeight="1" x14ac:dyDescent="0.25">
      <c r="AR94" s="6"/>
      <c r="AS94" s="7"/>
      <c r="AT94" s="1"/>
      <c r="AU94" s="1"/>
    </row>
    <row r="95" spans="44:47" ht="15.75" customHeight="1" x14ac:dyDescent="0.25">
      <c r="AR95" s="6"/>
      <c r="AS95" s="7"/>
      <c r="AT95" s="1"/>
      <c r="AU95" s="1"/>
    </row>
    <row r="96" spans="44:47" ht="15.75" customHeight="1" x14ac:dyDescent="0.25">
      <c r="AR96" s="6"/>
      <c r="AS96" s="7"/>
      <c r="AT96" s="1"/>
      <c r="AU96" s="1"/>
    </row>
    <row r="97" spans="44:47" ht="15.75" customHeight="1" x14ac:dyDescent="0.25">
      <c r="AR97" s="6"/>
      <c r="AS97" s="7"/>
      <c r="AT97" s="1"/>
      <c r="AU97" s="1"/>
    </row>
    <row r="98" spans="44:47" ht="15.75" customHeight="1" x14ac:dyDescent="0.25">
      <c r="AR98" s="6"/>
      <c r="AS98" s="7"/>
      <c r="AT98" s="1"/>
      <c r="AU98" s="1"/>
    </row>
    <row r="99" spans="44:47" ht="15.75" customHeight="1" x14ac:dyDescent="0.25">
      <c r="AR99" s="6"/>
      <c r="AS99" s="7"/>
      <c r="AT99" s="1"/>
      <c r="AU99" s="1"/>
    </row>
    <row r="100" spans="44:47" ht="15.75" customHeight="1" x14ac:dyDescent="0.25">
      <c r="AR100" s="6"/>
      <c r="AS100" s="7"/>
      <c r="AT100" s="1"/>
      <c r="AU100" s="1"/>
    </row>
    <row r="101" spans="44:47" ht="15.75" customHeight="1" x14ac:dyDescent="0.25">
      <c r="AR101" s="6"/>
      <c r="AS101" s="7"/>
      <c r="AT101" s="1"/>
      <c r="AU101" s="1"/>
    </row>
    <row r="102" spans="44:47" ht="15.75" customHeight="1" x14ac:dyDescent="0.25">
      <c r="AR102" s="6"/>
      <c r="AS102" s="7"/>
      <c r="AT102" s="1"/>
      <c r="AU102" s="1"/>
    </row>
    <row r="103" spans="44:47" ht="15.75" customHeight="1" x14ac:dyDescent="0.25">
      <c r="AR103" s="6"/>
      <c r="AS103" s="7"/>
      <c r="AT103" s="1"/>
      <c r="AU103" s="1"/>
    </row>
    <row r="104" spans="44:47" ht="15.75" customHeight="1" x14ac:dyDescent="0.25">
      <c r="AR104" s="6"/>
      <c r="AS104" s="7"/>
      <c r="AT104" s="1"/>
      <c r="AU104" s="1"/>
    </row>
    <row r="105" spans="44:47" ht="15.75" customHeight="1" x14ac:dyDescent="0.25">
      <c r="AR105" s="6"/>
      <c r="AS105" s="7"/>
      <c r="AT105" s="1"/>
      <c r="AU105" s="1"/>
    </row>
    <row r="106" spans="44:47" ht="15.75" customHeight="1" x14ac:dyDescent="0.25">
      <c r="AR106" s="6"/>
      <c r="AS106" s="7"/>
      <c r="AT106" s="1"/>
      <c r="AU106" s="1"/>
    </row>
    <row r="107" spans="44:47" ht="15.75" customHeight="1" x14ac:dyDescent="0.25">
      <c r="AR107" s="6"/>
      <c r="AS107" s="7"/>
      <c r="AT107" s="1"/>
      <c r="AU107" s="1"/>
    </row>
    <row r="108" spans="44:47" ht="15.75" customHeight="1" x14ac:dyDescent="0.25">
      <c r="AR108" s="6"/>
      <c r="AS108" s="7"/>
      <c r="AT108" s="1"/>
      <c r="AU108" s="1"/>
    </row>
    <row r="109" spans="44:47" ht="15.75" customHeight="1" x14ac:dyDescent="0.25">
      <c r="AR109" s="6"/>
      <c r="AS109" s="7"/>
      <c r="AT109" s="1"/>
      <c r="AU109" s="1"/>
    </row>
    <row r="110" spans="44:47" ht="15.75" customHeight="1" x14ac:dyDescent="0.25">
      <c r="AR110" s="6"/>
      <c r="AS110" s="7"/>
      <c r="AT110" s="1"/>
      <c r="AU110" s="1"/>
    </row>
    <row r="111" spans="44:47" ht="15.75" customHeight="1" x14ac:dyDescent="0.25">
      <c r="AR111" s="6"/>
      <c r="AS111" s="7"/>
      <c r="AT111" s="1"/>
      <c r="AU111" s="1"/>
    </row>
    <row r="112" spans="44:47" ht="15.75" customHeight="1" x14ac:dyDescent="0.25">
      <c r="AR112" s="6"/>
      <c r="AS112" s="7"/>
      <c r="AT112" s="1"/>
      <c r="AU112" s="1"/>
    </row>
    <row r="113" spans="44:47" ht="15.75" customHeight="1" x14ac:dyDescent="0.25">
      <c r="AR113" s="6"/>
      <c r="AS113" s="7"/>
      <c r="AT113" s="1"/>
      <c r="AU113" s="1"/>
    </row>
    <row r="114" spans="44:47" ht="15.75" customHeight="1" x14ac:dyDescent="0.25">
      <c r="AR114" s="6"/>
      <c r="AS114" s="7"/>
      <c r="AT114" s="1"/>
      <c r="AU114" s="1"/>
    </row>
    <row r="115" spans="44:47" ht="15.75" customHeight="1" x14ac:dyDescent="0.25">
      <c r="AR115" s="6"/>
      <c r="AS115" s="7"/>
      <c r="AT115" s="1"/>
      <c r="AU115" s="1"/>
    </row>
    <row r="116" spans="44:47" ht="15.75" customHeight="1" x14ac:dyDescent="0.25">
      <c r="AR116" s="6"/>
      <c r="AS116" s="7"/>
      <c r="AT116" s="1"/>
      <c r="AU116" s="1"/>
    </row>
    <row r="117" spans="44:47" ht="15.75" customHeight="1" x14ac:dyDescent="0.25">
      <c r="AR117" s="6"/>
      <c r="AS117" s="7"/>
      <c r="AT117" s="1"/>
      <c r="AU117" s="1"/>
    </row>
    <row r="118" spans="44:47" ht="15.75" customHeight="1" x14ac:dyDescent="0.25">
      <c r="AR118" s="6"/>
      <c r="AS118" s="7"/>
      <c r="AT118" s="1"/>
      <c r="AU118" s="1"/>
    </row>
    <row r="119" spans="44:47" ht="15.75" customHeight="1" x14ac:dyDescent="0.25">
      <c r="AR119" s="6"/>
      <c r="AS119" s="7"/>
      <c r="AT119" s="1"/>
      <c r="AU119" s="1"/>
    </row>
    <row r="120" spans="44:47" ht="15.75" customHeight="1" x14ac:dyDescent="0.25">
      <c r="AR120" s="6"/>
      <c r="AS120" s="7"/>
      <c r="AT120" s="1"/>
      <c r="AU120" s="1"/>
    </row>
    <row r="121" spans="44:47" ht="15.75" customHeight="1" x14ac:dyDescent="0.25">
      <c r="AR121" s="6"/>
      <c r="AS121" s="7"/>
      <c r="AT121" s="1"/>
      <c r="AU121" s="1"/>
    </row>
    <row r="122" spans="44:47" ht="15.75" customHeight="1" x14ac:dyDescent="0.25">
      <c r="AR122" s="6"/>
      <c r="AS122" s="7"/>
      <c r="AT122" s="1"/>
      <c r="AU122" s="1"/>
    </row>
    <row r="123" spans="44:47" ht="15.75" customHeight="1" x14ac:dyDescent="0.25">
      <c r="AR123" s="6"/>
      <c r="AS123" s="7"/>
      <c r="AT123" s="1"/>
      <c r="AU123" s="1"/>
    </row>
    <row r="124" spans="44:47" ht="15.75" customHeight="1" x14ac:dyDescent="0.25">
      <c r="AR124" s="6"/>
      <c r="AS124" s="7"/>
      <c r="AT124" s="1"/>
      <c r="AU124" s="1"/>
    </row>
    <row r="125" spans="44:47" ht="15.75" customHeight="1" x14ac:dyDescent="0.25">
      <c r="AR125" s="6"/>
      <c r="AS125" s="7"/>
      <c r="AT125" s="1"/>
      <c r="AU125" s="1"/>
    </row>
    <row r="126" spans="44:47" ht="15.75" customHeight="1" x14ac:dyDescent="0.25">
      <c r="AR126" s="6"/>
      <c r="AS126" s="7"/>
      <c r="AT126" s="1"/>
      <c r="AU126" s="1"/>
    </row>
    <row r="127" spans="44:47" ht="15.75" customHeight="1" x14ac:dyDescent="0.25">
      <c r="AR127" s="6"/>
      <c r="AS127" s="7"/>
      <c r="AT127" s="1"/>
      <c r="AU127" s="1"/>
    </row>
    <row r="128" spans="44:47" ht="15.75" customHeight="1" x14ac:dyDescent="0.25">
      <c r="AR128" s="6"/>
      <c r="AS128" s="7"/>
      <c r="AT128" s="1"/>
      <c r="AU128" s="1"/>
    </row>
    <row r="129" spans="44:47" ht="15.75" customHeight="1" x14ac:dyDescent="0.25">
      <c r="AR129" s="6"/>
      <c r="AS129" s="7"/>
      <c r="AT129" s="1"/>
      <c r="AU129" s="1"/>
    </row>
    <row r="130" spans="44:47" ht="15.75" customHeight="1" x14ac:dyDescent="0.25">
      <c r="AR130" s="6"/>
      <c r="AS130" s="7"/>
      <c r="AT130" s="1"/>
      <c r="AU130" s="1"/>
    </row>
    <row r="131" spans="44:47" ht="15.75" customHeight="1" x14ac:dyDescent="0.25">
      <c r="AR131" s="6"/>
      <c r="AS131" s="7"/>
      <c r="AT131" s="1"/>
      <c r="AU131" s="1"/>
    </row>
    <row r="132" spans="44:47" ht="15.75" customHeight="1" x14ac:dyDescent="0.25">
      <c r="AR132" s="6"/>
      <c r="AS132" s="7"/>
      <c r="AT132" s="1"/>
      <c r="AU132" s="1"/>
    </row>
    <row r="133" spans="44:47" ht="15.75" customHeight="1" x14ac:dyDescent="0.25">
      <c r="AR133" s="6"/>
      <c r="AS133" s="7"/>
      <c r="AT133" s="1"/>
      <c r="AU133" s="1"/>
    </row>
    <row r="134" spans="44:47" ht="15.75" customHeight="1" x14ac:dyDescent="0.25">
      <c r="AR134" s="6"/>
      <c r="AS134" s="7"/>
      <c r="AT134" s="1"/>
      <c r="AU134" s="1"/>
    </row>
    <row r="135" spans="44:47" ht="15.75" customHeight="1" x14ac:dyDescent="0.25">
      <c r="AR135" s="6"/>
      <c r="AS135" s="7"/>
      <c r="AT135" s="1"/>
      <c r="AU135" s="1"/>
    </row>
    <row r="136" spans="44:47" ht="15.75" customHeight="1" x14ac:dyDescent="0.25">
      <c r="AR136" s="6"/>
      <c r="AS136" s="7"/>
      <c r="AT136" s="1"/>
      <c r="AU136" s="1"/>
    </row>
    <row r="137" spans="44:47" ht="15.75" customHeight="1" x14ac:dyDescent="0.25">
      <c r="AR137" s="6"/>
      <c r="AS137" s="7"/>
      <c r="AT137" s="1"/>
      <c r="AU137" s="1"/>
    </row>
    <row r="138" spans="44:47" ht="15.75" customHeight="1" x14ac:dyDescent="0.25">
      <c r="AR138" s="6"/>
      <c r="AS138" s="7"/>
      <c r="AT138" s="1"/>
      <c r="AU138" s="1"/>
    </row>
    <row r="139" spans="44:47" ht="15.75" customHeight="1" x14ac:dyDescent="0.25">
      <c r="AR139" s="6"/>
      <c r="AS139" s="7"/>
      <c r="AT139" s="1"/>
      <c r="AU139" s="1"/>
    </row>
    <row r="140" spans="44:47" ht="15.75" customHeight="1" x14ac:dyDescent="0.25">
      <c r="AR140" s="6"/>
      <c r="AS140" s="7"/>
      <c r="AT140" s="1"/>
      <c r="AU140" s="1"/>
    </row>
    <row r="141" spans="44:47" ht="15.75" customHeight="1" x14ac:dyDescent="0.25">
      <c r="AR141" s="6"/>
      <c r="AS141" s="7"/>
      <c r="AT141" s="1"/>
      <c r="AU141" s="1"/>
    </row>
    <row r="142" spans="44:47" ht="15.75" customHeight="1" x14ac:dyDescent="0.25">
      <c r="AR142" s="6"/>
      <c r="AS142" s="7"/>
      <c r="AT142" s="1"/>
      <c r="AU142" s="1"/>
    </row>
    <row r="143" spans="44:47" ht="15.75" customHeight="1" x14ac:dyDescent="0.25">
      <c r="AR143" s="6"/>
      <c r="AS143" s="7"/>
      <c r="AT143" s="1"/>
      <c r="AU143" s="1"/>
    </row>
    <row r="144" spans="44:47" ht="15.75" customHeight="1" x14ac:dyDescent="0.25">
      <c r="AR144" s="6"/>
      <c r="AS144" s="7"/>
      <c r="AT144" s="1"/>
      <c r="AU144" s="1"/>
    </row>
    <row r="145" spans="44:47" ht="15.75" customHeight="1" x14ac:dyDescent="0.25">
      <c r="AR145" s="6"/>
      <c r="AS145" s="7"/>
      <c r="AT145" s="1"/>
      <c r="AU145" s="1"/>
    </row>
    <row r="146" spans="44:47" ht="15.75" customHeight="1" x14ac:dyDescent="0.25">
      <c r="AR146" s="6"/>
      <c r="AS146" s="7"/>
      <c r="AT146" s="1"/>
      <c r="AU146" s="1"/>
    </row>
    <row r="147" spans="44:47" ht="15.75" customHeight="1" x14ac:dyDescent="0.25">
      <c r="AR147" s="6"/>
      <c r="AS147" s="7"/>
      <c r="AT147" s="1"/>
      <c r="AU147" s="1"/>
    </row>
    <row r="148" spans="44:47" ht="15.75" customHeight="1" x14ac:dyDescent="0.25">
      <c r="AR148" s="6"/>
      <c r="AS148" s="7"/>
      <c r="AT148" s="1"/>
      <c r="AU148" s="1"/>
    </row>
    <row r="149" spans="44:47" ht="15.75" customHeight="1" x14ac:dyDescent="0.25">
      <c r="AR149" s="6"/>
      <c r="AS149" s="7"/>
      <c r="AT149" s="1"/>
      <c r="AU149" s="1"/>
    </row>
    <row r="150" spans="44:47" ht="15.75" customHeight="1" x14ac:dyDescent="0.25">
      <c r="AR150" s="6"/>
      <c r="AS150" s="7"/>
      <c r="AT150" s="1"/>
      <c r="AU150" s="1"/>
    </row>
    <row r="151" spans="44:47" ht="15.75" customHeight="1" x14ac:dyDescent="0.25">
      <c r="AR151" s="6"/>
      <c r="AS151" s="7"/>
      <c r="AT151" s="1"/>
      <c r="AU151" s="1"/>
    </row>
    <row r="152" spans="44:47" ht="15.75" customHeight="1" x14ac:dyDescent="0.25">
      <c r="AR152" s="6"/>
      <c r="AS152" s="7"/>
      <c r="AT152" s="1"/>
      <c r="AU152" s="1"/>
    </row>
    <row r="153" spans="44:47" ht="15.75" customHeight="1" x14ac:dyDescent="0.25">
      <c r="AR153" s="6"/>
      <c r="AS153" s="7"/>
      <c r="AT153" s="1"/>
      <c r="AU153" s="1"/>
    </row>
    <row r="154" spans="44:47" ht="15.75" customHeight="1" x14ac:dyDescent="0.25">
      <c r="AR154" s="6"/>
      <c r="AS154" s="7"/>
      <c r="AT154" s="1"/>
      <c r="AU154" s="1"/>
    </row>
    <row r="155" spans="44:47" ht="15.75" customHeight="1" x14ac:dyDescent="0.25">
      <c r="AR155" s="6"/>
      <c r="AS155" s="7"/>
      <c r="AT155" s="1"/>
      <c r="AU155" s="1"/>
    </row>
    <row r="156" spans="44:47" ht="15.75" customHeight="1" x14ac:dyDescent="0.25">
      <c r="AR156" s="6"/>
      <c r="AS156" s="7"/>
      <c r="AT156" s="1"/>
      <c r="AU156" s="1"/>
    </row>
    <row r="157" spans="44:47" ht="15.75" customHeight="1" x14ac:dyDescent="0.25">
      <c r="AR157" s="6"/>
      <c r="AS157" s="7"/>
      <c r="AT157" s="1"/>
      <c r="AU157" s="1"/>
    </row>
    <row r="158" spans="44:47" ht="15.75" customHeight="1" x14ac:dyDescent="0.25">
      <c r="AR158" s="6"/>
      <c r="AS158" s="7"/>
      <c r="AT158" s="1"/>
      <c r="AU158" s="1"/>
    </row>
    <row r="159" spans="44:47" ht="15.75" customHeight="1" x14ac:dyDescent="0.25">
      <c r="AR159" s="6"/>
      <c r="AS159" s="7"/>
      <c r="AT159" s="1"/>
      <c r="AU159" s="1"/>
    </row>
    <row r="160" spans="44:47" ht="15.75" customHeight="1" x14ac:dyDescent="0.25">
      <c r="AR160" s="6"/>
      <c r="AS160" s="7"/>
      <c r="AT160" s="1"/>
      <c r="AU160" s="1"/>
    </row>
    <row r="161" spans="44:47" ht="15.75" customHeight="1" x14ac:dyDescent="0.25">
      <c r="AR161" s="6"/>
      <c r="AS161" s="7"/>
      <c r="AT161" s="1"/>
      <c r="AU161" s="1"/>
    </row>
    <row r="162" spans="44:47" ht="15.75" customHeight="1" x14ac:dyDescent="0.25">
      <c r="AR162" s="6"/>
      <c r="AS162" s="7"/>
      <c r="AT162" s="1"/>
      <c r="AU162" s="1"/>
    </row>
    <row r="163" spans="44:47" ht="15.75" customHeight="1" x14ac:dyDescent="0.25">
      <c r="AR163" s="6"/>
      <c r="AS163" s="7"/>
      <c r="AT163" s="1"/>
      <c r="AU163" s="1"/>
    </row>
    <row r="164" spans="44:47" ht="15.75" customHeight="1" x14ac:dyDescent="0.25">
      <c r="AR164" s="6"/>
      <c r="AS164" s="7"/>
      <c r="AT164" s="1"/>
      <c r="AU164" s="1"/>
    </row>
    <row r="165" spans="44:47" ht="15.75" customHeight="1" x14ac:dyDescent="0.25">
      <c r="AR165" s="6"/>
      <c r="AS165" s="7"/>
      <c r="AT165" s="1"/>
      <c r="AU165" s="1"/>
    </row>
    <row r="166" spans="44:47" ht="15.75" customHeight="1" x14ac:dyDescent="0.25">
      <c r="AR166" s="6"/>
      <c r="AS166" s="7"/>
      <c r="AT166" s="1"/>
      <c r="AU166" s="1"/>
    </row>
    <row r="167" spans="44:47" ht="15.75" customHeight="1" x14ac:dyDescent="0.25">
      <c r="AR167" s="6"/>
      <c r="AS167" s="7"/>
      <c r="AT167" s="1"/>
      <c r="AU167" s="1"/>
    </row>
    <row r="168" spans="44:47" ht="15.75" customHeight="1" x14ac:dyDescent="0.25">
      <c r="AR168" s="6"/>
      <c r="AS168" s="7"/>
      <c r="AT168" s="1"/>
      <c r="AU168" s="1"/>
    </row>
    <row r="169" spans="44:47" ht="15.75" customHeight="1" x14ac:dyDescent="0.25">
      <c r="AR169" s="6"/>
      <c r="AS169" s="7"/>
      <c r="AT169" s="1"/>
      <c r="AU169" s="1"/>
    </row>
    <row r="170" spans="44:47" ht="15.75" customHeight="1" x14ac:dyDescent="0.25">
      <c r="AR170" s="6"/>
      <c r="AS170" s="7"/>
      <c r="AT170" s="1"/>
      <c r="AU170" s="1"/>
    </row>
    <row r="171" spans="44:47" ht="15.75" customHeight="1" x14ac:dyDescent="0.25">
      <c r="AR171" s="6"/>
      <c r="AS171" s="7"/>
      <c r="AT171" s="1"/>
      <c r="AU171" s="1"/>
    </row>
    <row r="172" spans="44:47" ht="15.75" customHeight="1" x14ac:dyDescent="0.25">
      <c r="AR172" s="6"/>
      <c r="AS172" s="7"/>
      <c r="AT172" s="1"/>
      <c r="AU172" s="1"/>
    </row>
    <row r="173" spans="44:47" ht="15.75" customHeight="1" x14ac:dyDescent="0.25">
      <c r="AR173" s="6"/>
      <c r="AS173" s="7"/>
      <c r="AT173" s="1"/>
      <c r="AU173" s="1"/>
    </row>
    <row r="174" spans="44:47" ht="15.75" customHeight="1" x14ac:dyDescent="0.25">
      <c r="AR174" s="6"/>
      <c r="AS174" s="7"/>
      <c r="AT174" s="1"/>
      <c r="AU174" s="1"/>
    </row>
    <row r="175" spans="44:47" ht="15.75" customHeight="1" x14ac:dyDescent="0.25">
      <c r="AR175" s="6"/>
      <c r="AS175" s="7"/>
      <c r="AT175" s="1"/>
      <c r="AU175" s="1"/>
    </row>
    <row r="176" spans="44:47" ht="15.75" customHeight="1" x14ac:dyDescent="0.25">
      <c r="AR176" s="6"/>
      <c r="AS176" s="7"/>
      <c r="AT176" s="1"/>
      <c r="AU176" s="1"/>
    </row>
    <row r="177" spans="44:47" ht="15.75" customHeight="1" x14ac:dyDescent="0.25">
      <c r="AR177" s="6"/>
      <c r="AS177" s="7"/>
      <c r="AT177" s="1"/>
      <c r="AU177" s="1"/>
    </row>
    <row r="178" spans="44:47" ht="15.75" customHeight="1" x14ac:dyDescent="0.25">
      <c r="AR178" s="6"/>
      <c r="AS178" s="7"/>
      <c r="AT178" s="1"/>
      <c r="AU178" s="1"/>
    </row>
    <row r="179" spans="44:47" ht="15.75" customHeight="1" x14ac:dyDescent="0.25">
      <c r="AR179" s="6"/>
      <c r="AS179" s="7"/>
      <c r="AT179" s="1"/>
      <c r="AU179" s="1"/>
    </row>
    <row r="180" spans="44:47" ht="15.75" customHeight="1" x14ac:dyDescent="0.25">
      <c r="AR180" s="6"/>
      <c r="AS180" s="7"/>
      <c r="AT180" s="1"/>
      <c r="AU180" s="1"/>
    </row>
    <row r="181" spans="44:47" ht="15.75" customHeight="1" x14ac:dyDescent="0.25">
      <c r="AR181" s="6"/>
      <c r="AS181" s="7"/>
      <c r="AT181" s="1"/>
      <c r="AU181" s="1"/>
    </row>
    <row r="182" spans="44:47" ht="15.75" customHeight="1" x14ac:dyDescent="0.25">
      <c r="AR182" s="6"/>
      <c r="AS182" s="7"/>
      <c r="AT182" s="1"/>
      <c r="AU182" s="1"/>
    </row>
    <row r="183" spans="44:47" ht="15.75" customHeight="1" x14ac:dyDescent="0.25">
      <c r="AR183" s="6"/>
      <c r="AS183" s="7"/>
      <c r="AT183" s="1"/>
      <c r="AU183" s="1"/>
    </row>
    <row r="184" spans="44:47" ht="15.75" customHeight="1" x14ac:dyDescent="0.25">
      <c r="AR184" s="6"/>
      <c r="AS184" s="7"/>
      <c r="AT184" s="1"/>
      <c r="AU184" s="1"/>
    </row>
    <row r="185" spans="44:47" ht="15.75" customHeight="1" x14ac:dyDescent="0.25">
      <c r="AR185" s="6"/>
      <c r="AS185" s="7"/>
      <c r="AT185" s="1"/>
      <c r="AU185" s="1"/>
    </row>
    <row r="186" spans="44:47" ht="15.75" customHeight="1" x14ac:dyDescent="0.25">
      <c r="AR186" s="6"/>
      <c r="AS186" s="7"/>
      <c r="AT186" s="1"/>
      <c r="AU186" s="1"/>
    </row>
    <row r="187" spans="44:47" ht="15.75" customHeight="1" x14ac:dyDescent="0.25">
      <c r="AR187" s="6"/>
      <c r="AS187" s="7"/>
      <c r="AT187" s="1"/>
      <c r="AU187" s="1"/>
    </row>
    <row r="188" spans="44:47" ht="15.75" customHeight="1" x14ac:dyDescent="0.25">
      <c r="AR188" s="6"/>
      <c r="AS188" s="7"/>
      <c r="AT188" s="1"/>
      <c r="AU188" s="1"/>
    </row>
    <row r="189" spans="44:47" ht="15.75" customHeight="1" x14ac:dyDescent="0.25">
      <c r="AR189" s="6"/>
      <c r="AS189" s="7"/>
      <c r="AT189" s="1"/>
      <c r="AU189" s="1"/>
    </row>
    <row r="190" spans="44:47" ht="15.75" customHeight="1" x14ac:dyDescent="0.25">
      <c r="AR190" s="6"/>
      <c r="AS190" s="7"/>
      <c r="AT190" s="1"/>
      <c r="AU190" s="1"/>
    </row>
    <row r="191" spans="44:47" ht="15.75" customHeight="1" x14ac:dyDescent="0.25">
      <c r="AR191" s="6"/>
      <c r="AS191" s="7"/>
      <c r="AT191" s="1"/>
      <c r="AU191" s="1"/>
    </row>
    <row r="192" spans="44:47" ht="15.75" customHeight="1" x14ac:dyDescent="0.25">
      <c r="AR192" s="6"/>
      <c r="AS192" s="7"/>
      <c r="AT192" s="1"/>
      <c r="AU192" s="1"/>
    </row>
    <row r="193" spans="44:47" ht="15.75" customHeight="1" x14ac:dyDescent="0.25">
      <c r="AR193" s="6"/>
      <c r="AS193" s="7"/>
      <c r="AT193" s="1"/>
      <c r="AU193" s="1"/>
    </row>
    <row r="194" spans="44:47" ht="15.75" customHeight="1" x14ac:dyDescent="0.25">
      <c r="AR194" s="6"/>
      <c r="AS194" s="7"/>
      <c r="AT194" s="1"/>
      <c r="AU194" s="1"/>
    </row>
    <row r="195" spans="44:47" ht="15.75" customHeight="1" x14ac:dyDescent="0.25">
      <c r="AR195" s="6"/>
      <c r="AS195" s="7"/>
      <c r="AT195" s="1"/>
      <c r="AU195" s="1"/>
    </row>
    <row r="196" spans="44:47" ht="15.75" customHeight="1" x14ac:dyDescent="0.25">
      <c r="AR196" s="6"/>
      <c r="AS196" s="7"/>
      <c r="AT196" s="1"/>
      <c r="AU196" s="1"/>
    </row>
    <row r="197" spans="44:47" ht="15.75" customHeight="1" x14ac:dyDescent="0.25">
      <c r="AR197" s="6"/>
      <c r="AS197" s="7"/>
      <c r="AT197" s="1"/>
      <c r="AU197" s="1"/>
    </row>
    <row r="198" spans="44:47" ht="15.75" customHeight="1" x14ac:dyDescent="0.25">
      <c r="AR198" s="6"/>
      <c r="AS198" s="7"/>
      <c r="AT198" s="1"/>
      <c r="AU198" s="1"/>
    </row>
    <row r="199" spans="44:47" ht="15.75" customHeight="1" x14ac:dyDescent="0.25">
      <c r="AR199" s="6"/>
      <c r="AS199" s="7"/>
      <c r="AT199" s="1"/>
      <c r="AU199" s="1"/>
    </row>
    <row r="200" spans="44:47" ht="15.75" customHeight="1" x14ac:dyDescent="0.25">
      <c r="AR200" s="6"/>
      <c r="AS200" s="7"/>
      <c r="AT200" s="1"/>
      <c r="AU200" s="1"/>
    </row>
    <row r="201" spans="44:47" ht="15.75" customHeight="1" x14ac:dyDescent="0.25">
      <c r="AR201" s="6"/>
      <c r="AS201" s="7"/>
      <c r="AT201" s="1"/>
      <c r="AU201" s="1"/>
    </row>
    <row r="202" spans="44:47" ht="15.75" customHeight="1" x14ac:dyDescent="0.25">
      <c r="AR202" s="6"/>
      <c r="AS202" s="7"/>
      <c r="AT202" s="1"/>
      <c r="AU202" s="1"/>
    </row>
    <row r="203" spans="44:47" ht="15.75" customHeight="1" x14ac:dyDescent="0.25">
      <c r="AR203" s="6"/>
      <c r="AS203" s="7"/>
      <c r="AT203" s="1"/>
      <c r="AU203" s="1"/>
    </row>
    <row r="204" spans="44:47" ht="15.75" customHeight="1" x14ac:dyDescent="0.25">
      <c r="AR204" s="6"/>
      <c r="AS204" s="7"/>
      <c r="AT204" s="1"/>
      <c r="AU204" s="1"/>
    </row>
    <row r="205" spans="44:47" ht="15.75" customHeight="1" x14ac:dyDescent="0.25">
      <c r="AR205" s="6"/>
      <c r="AS205" s="7"/>
      <c r="AT205" s="1"/>
      <c r="AU205" s="1"/>
    </row>
    <row r="206" spans="44:47" ht="15.75" customHeight="1" x14ac:dyDescent="0.25">
      <c r="AR206" s="6"/>
      <c r="AS206" s="7"/>
      <c r="AT206" s="1"/>
      <c r="AU206" s="1"/>
    </row>
    <row r="207" spans="44:47" ht="15.75" customHeight="1" x14ac:dyDescent="0.25">
      <c r="AR207" s="6"/>
      <c r="AS207" s="7"/>
      <c r="AT207" s="1"/>
      <c r="AU207" s="1"/>
    </row>
    <row r="208" spans="44:47" ht="15.75" customHeight="1" x14ac:dyDescent="0.25">
      <c r="AR208" s="6"/>
      <c r="AS208" s="7"/>
      <c r="AT208" s="1"/>
      <c r="AU208" s="1"/>
    </row>
    <row r="209" spans="44:47" ht="15.75" customHeight="1" x14ac:dyDescent="0.25">
      <c r="AR209" s="6"/>
      <c r="AS209" s="7"/>
      <c r="AT209" s="1"/>
      <c r="AU209" s="1"/>
    </row>
    <row r="210" spans="44:47" ht="15.75" customHeight="1" x14ac:dyDescent="0.25">
      <c r="AR210" s="6"/>
      <c r="AS210" s="7"/>
      <c r="AT210" s="1"/>
      <c r="AU210" s="1"/>
    </row>
    <row r="211" spans="44:47" ht="15.75" customHeight="1" x14ac:dyDescent="0.25">
      <c r="AR211" s="6"/>
      <c r="AS211" s="7"/>
      <c r="AT211" s="1"/>
      <c r="AU211" s="1"/>
    </row>
    <row r="212" spans="44:47" ht="15.75" customHeight="1" x14ac:dyDescent="0.25">
      <c r="AR212" s="6"/>
      <c r="AS212" s="7"/>
      <c r="AT212" s="1"/>
      <c r="AU212" s="1"/>
    </row>
    <row r="213" spans="44:47" ht="15.75" customHeight="1" x14ac:dyDescent="0.25">
      <c r="AR213" s="6"/>
      <c r="AS213" s="7"/>
      <c r="AT213" s="1"/>
      <c r="AU213" s="1"/>
    </row>
    <row r="214" spans="44:47" ht="15.75" customHeight="1" x14ac:dyDescent="0.25">
      <c r="AR214" s="6"/>
      <c r="AS214" s="7"/>
      <c r="AT214" s="1"/>
      <c r="AU214" s="1"/>
    </row>
    <row r="215" spans="44:47" ht="15.75" customHeight="1" x14ac:dyDescent="0.25">
      <c r="AR215" s="6"/>
      <c r="AS215" s="7"/>
      <c r="AT215" s="1"/>
      <c r="AU215" s="1"/>
    </row>
    <row r="216" spans="44:47" ht="15.75" customHeight="1" x14ac:dyDescent="0.25">
      <c r="AR216" s="6"/>
      <c r="AS216" s="7"/>
      <c r="AT216" s="1"/>
      <c r="AU216" s="1"/>
    </row>
    <row r="217" spans="44:47" ht="15.75" customHeight="1" x14ac:dyDescent="0.25">
      <c r="AR217" s="6"/>
      <c r="AS217" s="7"/>
      <c r="AT217" s="1"/>
      <c r="AU217" s="1"/>
    </row>
    <row r="218" spans="44:47" ht="15.75" customHeight="1" x14ac:dyDescent="0.25">
      <c r="AR218" s="6"/>
      <c r="AS218" s="7"/>
      <c r="AT218" s="1"/>
      <c r="AU218" s="1"/>
    </row>
    <row r="219" spans="44:47" ht="15.75" customHeight="1" x14ac:dyDescent="0.25">
      <c r="AR219" s="6"/>
      <c r="AS219" s="7"/>
      <c r="AT219" s="1"/>
      <c r="AU219" s="1"/>
    </row>
    <row r="220" spans="44:47" ht="15.75" customHeight="1" x14ac:dyDescent="0.25">
      <c r="AR220" s="6"/>
      <c r="AS220" s="7"/>
      <c r="AT220" s="1"/>
      <c r="AU220" s="1"/>
    </row>
    <row r="221" spans="44:47" ht="15.75" customHeight="1" x14ac:dyDescent="0.25">
      <c r="AR221" s="6"/>
      <c r="AS221" s="7"/>
      <c r="AT221" s="1"/>
      <c r="AU221" s="1"/>
    </row>
    <row r="222" spans="44:47" ht="15.75" customHeight="1" x14ac:dyDescent="0.25">
      <c r="AR222" s="6"/>
      <c r="AS222" s="7"/>
      <c r="AT222" s="1"/>
      <c r="AU222" s="1"/>
    </row>
    <row r="223" spans="44:47" ht="15.75" customHeight="1" x14ac:dyDescent="0.25">
      <c r="AR223" s="6"/>
      <c r="AS223" s="7"/>
      <c r="AT223" s="1"/>
      <c r="AU223" s="1"/>
    </row>
    <row r="224" spans="44:47" ht="15.75" customHeight="1" x14ac:dyDescent="0.25">
      <c r="AR224" s="6"/>
      <c r="AS224" s="7"/>
      <c r="AT224" s="1"/>
      <c r="AU224" s="1"/>
    </row>
    <row r="225" spans="44:47" ht="15.75" customHeight="1" x14ac:dyDescent="0.25">
      <c r="AR225" s="6"/>
      <c r="AS225" s="7"/>
      <c r="AT225" s="1"/>
      <c r="AU225" s="1"/>
    </row>
    <row r="226" spans="44:47" ht="15.75" customHeight="1" x14ac:dyDescent="0.25">
      <c r="AR226" s="6"/>
      <c r="AS226" s="7"/>
      <c r="AT226" s="1"/>
      <c r="AU226" s="1"/>
    </row>
    <row r="227" spans="44:47" ht="15.75" customHeight="1" x14ac:dyDescent="0.25">
      <c r="AR227" s="6"/>
      <c r="AS227" s="7"/>
      <c r="AT227" s="1"/>
      <c r="AU227" s="1"/>
    </row>
    <row r="228" spans="44:47" ht="15.75" customHeight="1" x14ac:dyDescent="0.25">
      <c r="AR228" s="6"/>
      <c r="AS228" s="7"/>
      <c r="AT228" s="1"/>
      <c r="AU228" s="1"/>
    </row>
    <row r="229" spans="44:47" ht="15.75" customHeight="1" x14ac:dyDescent="0.25">
      <c r="AR229" s="6"/>
      <c r="AS229" s="7"/>
      <c r="AT229" s="1"/>
      <c r="AU229" s="1"/>
    </row>
    <row r="230" spans="44:47" ht="15.75" customHeight="1" x14ac:dyDescent="0.25">
      <c r="AR230" s="6"/>
      <c r="AS230" s="7"/>
      <c r="AT230" s="1"/>
      <c r="AU230" s="1"/>
    </row>
    <row r="231" spans="44:47" ht="15.75" customHeight="1" x14ac:dyDescent="0.25">
      <c r="AR231" s="6"/>
      <c r="AS231" s="7"/>
      <c r="AT231" s="1"/>
      <c r="AU231" s="1"/>
    </row>
    <row r="232" spans="44:47" ht="15.75" customHeight="1" x14ac:dyDescent="0.25">
      <c r="AR232" s="6"/>
      <c r="AS232" s="7"/>
      <c r="AT232" s="1"/>
      <c r="AU232" s="1"/>
    </row>
    <row r="233" spans="44:47" ht="15.75" customHeight="1" x14ac:dyDescent="0.25">
      <c r="AR233" s="6"/>
      <c r="AS233" s="7"/>
      <c r="AT233" s="1"/>
      <c r="AU233" s="1"/>
    </row>
    <row r="234" spans="44:47" ht="15.75" customHeight="1" x14ac:dyDescent="0.25">
      <c r="AR234" s="6"/>
      <c r="AS234" s="7"/>
      <c r="AT234" s="1"/>
      <c r="AU234" s="1"/>
    </row>
    <row r="235" spans="44:47" ht="15.75" customHeight="1" x14ac:dyDescent="0.25">
      <c r="AR235" s="6"/>
      <c r="AS235" s="7"/>
      <c r="AT235" s="1"/>
      <c r="AU235" s="1"/>
    </row>
    <row r="236" spans="44:47" ht="15.75" customHeight="1" x14ac:dyDescent="0.25">
      <c r="AR236" s="6"/>
      <c r="AS236" s="7"/>
      <c r="AT236" s="1"/>
      <c r="AU236" s="1"/>
    </row>
    <row r="237" spans="44:47" ht="15.75" customHeight="1" x14ac:dyDescent="0.25">
      <c r="AR237" s="6"/>
      <c r="AS237" s="7"/>
      <c r="AT237" s="1"/>
      <c r="AU237" s="1"/>
    </row>
    <row r="238" spans="44:47" ht="15.75" customHeight="1" x14ac:dyDescent="0.25">
      <c r="AR238" s="6"/>
      <c r="AS238" s="7"/>
      <c r="AT238" s="1"/>
      <c r="AU238" s="1"/>
    </row>
    <row r="239" spans="44:47" ht="15.75" customHeight="1" x14ac:dyDescent="0.25">
      <c r="AR239" s="6"/>
      <c r="AS239" s="7"/>
      <c r="AT239" s="1"/>
      <c r="AU239" s="1"/>
    </row>
    <row r="240" spans="44:47" ht="15.75" customHeight="1" x14ac:dyDescent="0.25">
      <c r="AR240" s="6"/>
      <c r="AS240" s="7"/>
      <c r="AT240" s="1"/>
      <c r="AU240" s="1"/>
    </row>
    <row r="241" spans="44:47" ht="15.75" customHeight="1" x14ac:dyDescent="0.25">
      <c r="AR241" s="6"/>
      <c r="AS241" s="7"/>
      <c r="AT241" s="1"/>
      <c r="AU241" s="1"/>
    </row>
    <row r="242" spans="44:47" ht="15.75" customHeight="1" x14ac:dyDescent="0.25">
      <c r="AR242" s="6"/>
      <c r="AS242" s="7"/>
      <c r="AT242" s="1"/>
      <c r="AU242" s="1"/>
    </row>
    <row r="243" spans="44:47" ht="15.75" customHeight="1" x14ac:dyDescent="0.25">
      <c r="AR243" s="6"/>
      <c r="AS243" s="7"/>
      <c r="AT243" s="1"/>
      <c r="AU243" s="1"/>
    </row>
    <row r="244" spans="44:47" ht="15.75" customHeight="1" x14ac:dyDescent="0.25">
      <c r="AR244" s="6"/>
      <c r="AS244" s="7"/>
      <c r="AT244" s="1"/>
      <c r="AU244" s="1"/>
    </row>
    <row r="245" spans="44:47" ht="15.75" customHeight="1" x14ac:dyDescent="0.25">
      <c r="AR245" s="6"/>
      <c r="AS245" s="7"/>
      <c r="AT245" s="1"/>
      <c r="AU245" s="1"/>
    </row>
    <row r="246" spans="44:47" ht="15.75" customHeight="1" x14ac:dyDescent="0.25">
      <c r="AR246" s="6"/>
      <c r="AS246" s="7"/>
      <c r="AT246" s="1"/>
      <c r="AU246" s="1"/>
    </row>
    <row r="247" spans="44:47" ht="15.75" customHeight="1" x14ac:dyDescent="0.25">
      <c r="AR247" s="6"/>
      <c r="AS247" s="7"/>
      <c r="AT247" s="1"/>
      <c r="AU247" s="1"/>
    </row>
    <row r="248" spans="44:47" ht="15.75" customHeight="1" x14ac:dyDescent="0.25">
      <c r="AR248" s="6"/>
      <c r="AS248" s="7"/>
      <c r="AT248" s="1"/>
      <c r="AU248" s="1"/>
    </row>
    <row r="249" spans="44:47" ht="15.75" customHeight="1" x14ac:dyDescent="0.25">
      <c r="AR249" s="6"/>
      <c r="AS249" s="7"/>
      <c r="AT249" s="1"/>
      <c r="AU249" s="1"/>
    </row>
    <row r="250" spans="44:47" ht="15.75" customHeight="1" x14ac:dyDescent="0.25">
      <c r="AR250" s="6"/>
      <c r="AS250" s="7"/>
      <c r="AT250" s="1"/>
      <c r="AU250" s="1"/>
    </row>
    <row r="251" spans="44:47" ht="15.75" customHeight="1" x14ac:dyDescent="0.25">
      <c r="AR251" s="6"/>
      <c r="AS251" s="7"/>
      <c r="AT251" s="1"/>
      <c r="AU251" s="1"/>
    </row>
    <row r="252" spans="44:47" ht="15.75" customHeight="1" x14ac:dyDescent="0.25">
      <c r="AR252" s="6"/>
      <c r="AS252" s="7"/>
      <c r="AT252" s="1"/>
      <c r="AU252" s="1"/>
    </row>
    <row r="253" spans="44:47" ht="15.75" customHeight="1" x14ac:dyDescent="0.25">
      <c r="AR253" s="6"/>
      <c r="AS253" s="7"/>
      <c r="AT253" s="1"/>
      <c r="AU253" s="1"/>
    </row>
    <row r="254" spans="44:47" ht="15.75" customHeight="1" x14ac:dyDescent="0.25">
      <c r="AR254" s="6"/>
      <c r="AS254" s="7"/>
      <c r="AT254" s="1"/>
      <c r="AU254" s="1"/>
    </row>
    <row r="255" spans="44:47" ht="15.75" customHeight="1" x14ac:dyDescent="0.25">
      <c r="AR255" s="6"/>
      <c r="AS255" s="7"/>
      <c r="AT255" s="1"/>
      <c r="AU255" s="1"/>
    </row>
    <row r="256" spans="44:47" ht="15.75" customHeight="1" x14ac:dyDescent="0.25">
      <c r="AR256" s="6"/>
      <c r="AS256" s="7"/>
      <c r="AT256" s="1"/>
      <c r="AU256" s="1"/>
    </row>
    <row r="257" spans="44:47" ht="15.75" customHeight="1" x14ac:dyDescent="0.25">
      <c r="AR257" s="6"/>
      <c r="AS257" s="7"/>
      <c r="AT257" s="1"/>
      <c r="AU257" s="1"/>
    </row>
    <row r="258" spans="44:47" ht="15.75" customHeight="1" x14ac:dyDescent="0.25">
      <c r="AR258" s="6"/>
      <c r="AS258" s="7"/>
      <c r="AT258" s="1"/>
      <c r="AU258" s="1"/>
    </row>
    <row r="259" spans="44:47" ht="15.75" customHeight="1" x14ac:dyDescent="0.25">
      <c r="AR259" s="6"/>
      <c r="AS259" s="7"/>
      <c r="AT259" s="1"/>
      <c r="AU259" s="1"/>
    </row>
    <row r="260" spans="44:47" ht="15.75" customHeight="1" x14ac:dyDescent="0.25">
      <c r="AR260" s="6"/>
      <c r="AS260" s="7"/>
      <c r="AT260" s="1"/>
      <c r="AU260" s="1"/>
    </row>
    <row r="261" spans="44:47" ht="15.75" customHeight="1" x14ac:dyDescent="0.25">
      <c r="AR261" s="6"/>
      <c r="AS261" s="7"/>
      <c r="AT261" s="1"/>
      <c r="AU261" s="1"/>
    </row>
    <row r="262" spans="44:47" ht="15.75" customHeight="1" x14ac:dyDescent="0.25">
      <c r="AR262" s="6"/>
      <c r="AS262" s="7"/>
      <c r="AT262" s="1"/>
      <c r="AU262" s="1"/>
    </row>
    <row r="263" spans="44:47" ht="15.75" customHeight="1" x14ac:dyDescent="0.25">
      <c r="AR263" s="6"/>
      <c r="AS263" s="7"/>
      <c r="AT263" s="1"/>
      <c r="AU263" s="1"/>
    </row>
    <row r="264" spans="44:47" ht="15.75" customHeight="1" x14ac:dyDescent="0.25">
      <c r="AR264" s="6"/>
      <c r="AS264" s="7"/>
      <c r="AT264" s="1"/>
      <c r="AU264" s="1"/>
    </row>
    <row r="265" spans="44:47" ht="15.75" customHeight="1" x14ac:dyDescent="0.25">
      <c r="AR265" s="6"/>
      <c r="AS265" s="7"/>
      <c r="AT265" s="1"/>
      <c r="AU265" s="1"/>
    </row>
    <row r="266" spans="44:47" ht="15.75" customHeight="1" x14ac:dyDescent="0.25">
      <c r="AR266" s="6"/>
      <c r="AS266" s="7"/>
      <c r="AT266" s="1"/>
      <c r="AU266" s="1"/>
    </row>
    <row r="267" spans="44:47" ht="15.75" customHeight="1" x14ac:dyDescent="0.25">
      <c r="AR267" s="6"/>
      <c r="AS267" s="7"/>
      <c r="AT267" s="1"/>
      <c r="AU267" s="1"/>
    </row>
    <row r="268" spans="44:47" ht="15.75" customHeight="1" x14ac:dyDescent="0.25">
      <c r="AR268" s="6"/>
      <c r="AS268" s="7"/>
      <c r="AT268" s="1"/>
      <c r="AU268" s="1"/>
    </row>
    <row r="269" spans="44:47" ht="15.75" customHeight="1" x14ac:dyDescent="0.25">
      <c r="AR269" s="6"/>
      <c r="AS269" s="7"/>
      <c r="AT269" s="1"/>
      <c r="AU269" s="1"/>
    </row>
    <row r="270" spans="44:47" ht="15.75" customHeight="1" x14ac:dyDescent="0.25">
      <c r="AR270" s="6"/>
      <c r="AS270" s="7"/>
      <c r="AT270" s="1"/>
      <c r="AU270" s="1"/>
    </row>
    <row r="271" spans="44:47" ht="15.75" customHeight="1" x14ac:dyDescent="0.25">
      <c r="AR271" s="6"/>
      <c r="AS271" s="7"/>
      <c r="AT271" s="1"/>
      <c r="AU271" s="1"/>
    </row>
    <row r="272" spans="44:47" ht="15.75" customHeight="1" x14ac:dyDescent="0.25">
      <c r="AR272" s="6"/>
      <c r="AS272" s="7"/>
      <c r="AT272" s="1"/>
      <c r="AU272" s="1"/>
    </row>
    <row r="273" spans="44:47" ht="15.75" customHeight="1" x14ac:dyDescent="0.25">
      <c r="AR273" s="6"/>
      <c r="AS273" s="7"/>
      <c r="AT273" s="1"/>
      <c r="AU273" s="1"/>
    </row>
    <row r="274" spans="44:47" ht="15.75" customHeight="1" x14ac:dyDescent="0.25">
      <c r="AR274" s="6"/>
      <c r="AS274" s="7"/>
      <c r="AT274" s="1"/>
      <c r="AU274" s="1"/>
    </row>
    <row r="275" spans="44:47" ht="15.75" customHeight="1" x14ac:dyDescent="0.25">
      <c r="AR275" s="6"/>
      <c r="AS275" s="7"/>
      <c r="AT275" s="1"/>
      <c r="AU275" s="1"/>
    </row>
    <row r="276" spans="44:47" ht="15.75" customHeight="1" x14ac:dyDescent="0.25">
      <c r="AR276" s="6"/>
      <c r="AS276" s="7"/>
      <c r="AT276" s="1"/>
      <c r="AU276" s="1"/>
    </row>
    <row r="277" spans="44:47" ht="15.75" customHeight="1" x14ac:dyDescent="0.25">
      <c r="AR277" s="6"/>
      <c r="AS277" s="7"/>
      <c r="AT277" s="1"/>
      <c r="AU277" s="1"/>
    </row>
    <row r="278" spans="44:47" ht="15.75" customHeight="1" x14ac:dyDescent="0.25">
      <c r="AR278" s="6"/>
      <c r="AS278" s="7"/>
      <c r="AT278" s="1"/>
      <c r="AU278" s="1"/>
    </row>
    <row r="279" spans="44:47" ht="15.75" customHeight="1" x14ac:dyDescent="0.25">
      <c r="AR279" s="6"/>
      <c r="AS279" s="7"/>
      <c r="AT279" s="1"/>
      <c r="AU279" s="1"/>
    </row>
    <row r="280" spans="44:47" ht="15.75" customHeight="1" x14ac:dyDescent="0.25">
      <c r="AR280" s="6"/>
      <c r="AS280" s="7"/>
      <c r="AT280" s="1"/>
      <c r="AU280" s="1"/>
    </row>
    <row r="281" spans="44:47" ht="15.75" customHeight="1" x14ac:dyDescent="0.25">
      <c r="AR281" s="6"/>
      <c r="AS281" s="7"/>
      <c r="AT281" s="1"/>
      <c r="AU281" s="1"/>
    </row>
    <row r="282" spans="44:47" ht="15.75" customHeight="1" x14ac:dyDescent="0.25">
      <c r="AR282" s="6"/>
      <c r="AS282" s="7"/>
      <c r="AT282" s="1"/>
      <c r="AU282" s="1"/>
    </row>
    <row r="283" spans="44:47" ht="15.75" customHeight="1" x14ac:dyDescent="0.25">
      <c r="AR283" s="6"/>
      <c r="AS283" s="7"/>
      <c r="AT283" s="1"/>
      <c r="AU283" s="1"/>
    </row>
    <row r="284" spans="44:47" ht="15.75" customHeight="1" x14ac:dyDescent="0.25">
      <c r="AR284" s="6"/>
      <c r="AS284" s="7"/>
      <c r="AT284" s="1"/>
      <c r="AU284" s="1"/>
    </row>
    <row r="285" spans="44:47" ht="15.75" customHeight="1" x14ac:dyDescent="0.25">
      <c r="AR285" s="6"/>
      <c r="AS285" s="7"/>
      <c r="AT285" s="1"/>
      <c r="AU285" s="1"/>
    </row>
    <row r="286" spans="44:47" ht="15.75" customHeight="1" x14ac:dyDescent="0.25">
      <c r="AR286" s="6"/>
      <c r="AS286" s="7"/>
      <c r="AT286" s="1"/>
      <c r="AU286" s="1"/>
    </row>
    <row r="287" spans="44:47" ht="15.75" customHeight="1" x14ac:dyDescent="0.25">
      <c r="AR287" s="6"/>
      <c r="AS287" s="7"/>
      <c r="AT287" s="1"/>
      <c r="AU287" s="1"/>
    </row>
    <row r="288" spans="44:47" ht="15.75" customHeight="1" x14ac:dyDescent="0.25">
      <c r="AR288" s="6"/>
      <c r="AS288" s="7"/>
      <c r="AT288" s="1"/>
      <c r="AU288" s="1"/>
    </row>
    <row r="289" spans="44:47" ht="15.75" customHeight="1" x14ac:dyDescent="0.25">
      <c r="AR289" s="6"/>
      <c r="AS289" s="7"/>
      <c r="AT289" s="1"/>
      <c r="AU289" s="1"/>
    </row>
    <row r="290" spans="44:47" ht="15.75" customHeight="1" x14ac:dyDescent="0.25">
      <c r="AR290" s="6"/>
      <c r="AS290" s="7"/>
      <c r="AT290" s="1"/>
      <c r="AU290" s="1"/>
    </row>
    <row r="291" spans="44:47" ht="15.75" customHeight="1" x14ac:dyDescent="0.25">
      <c r="AR291" s="6"/>
      <c r="AS291" s="7"/>
      <c r="AT291" s="1"/>
      <c r="AU291" s="1"/>
    </row>
    <row r="292" spans="44:47" ht="15.75" customHeight="1" x14ac:dyDescent="0.25">
      <c r="AR292" s="6"/>
      <c r="AS292" s="7"/>
      <c r="AT292" s="1"/>
      <c r="AU292" s="1"/>
    </row>
    <row r="293" spans="44:47" ht="15.75" customHeight="1" x14ac:dyDescent="0.25">
      <c r="AR293" s="6"/>
      <c r="AS293" s="7"/>
      <c r="AT293" s="1"/>
      <c r="AU293" s="1"/>
    </row>
    <row r="294" spans="44:47" ht="15.75" customHeight="1" x14ac:dyDescent="0.25">
      <c r="AR294" s="6"/>
      <c r="AS294" s="7"/>
      <c r="AT294" s="1"/>
      <c r="AU294" s="1"/>
    </row>
    <row r="295" spans="44:47" ht="15.75" customHeight="1" x14ac:dyDescent="0.25">
      <c r="AR295" s="6"/>
      <c r="AS295" s="7"/>
      <c r="AT295" s="1"/>
      <c r="AU295" s="1"/>
    </row>
    <row r="296" spans="44:47" ht="15.75" customHeight="1" x14ac:dyDescent="0.25">
      <c r="AR296" s="6"/>
      <c r="AS296" s="7"/>
      <c r="AT296" s="1"/>
      <c r="AU296" s="1"/>
    </row>
    <row r="297" spans="44:47" ht="15.75" customHeight="1" x14ac:dyDescent="0.25">
      <c r="AR297" s="6"/>
      <c r="AS297" s="7"/>
      <c r="AT297" s="1"/>
      <c r="AU297" s="1"/>
    </row>
    <row r="298" spans="44:47" ht="15.75" customHeight="1" x14ac:dyDescent="0.25">
      <c r="AR298" s="6"/>
      <c r="AS298" s="7"/>
      <c r="AT298" s="1"/>
      <c r="AU298" s="1"/>
    </row>
    <row r="299" spans="44:47" ht="15.75" customHeight="1" x14ac:dyDescent="0.25">
      <c r="AR299" s="6"/>
      <c r="AS299" s="7"/>
      <c r="AT299" s="1"/>
      <c r="AU299" s="1"/>
    </row>
    <row r="300" spans="44:47" ht="15.75" customHeight="1" x14ac:dyDescent="0.25">
      <c r="AR300" s="6"/>
      <c r="AS300" s="7"/>
      <c r="AT300" s="1"/>
      <c r="AU300" s="1"/>
    </row>
    <row r="301" spans="44:47" ht="15.75" customHeight="1" x14ac:dyDescent="0.25">
      <c r="AR301" s="6"/>
      <c r="AS301" s="7"/>
      <c r="AT301" s="1"/>
      <c r="AU301" s="1"/>
    </row>
    <row r="302" spans="44:47" ht="15.75" customHeight="1" x14ac:dyDescent="0.25">
      <c r="AR302" s="6"/>
      <c r="AS302" s="7"/>
      <c r="AT302" s="1"/>
      <c r="AU302" s="1"/>
    </row>
    <row r="303" spans="44:47" ht="15.75" customHeight="1" x14ac:dyDescent="0.25">
      <c r="AR303" s="6"/>
      <c r="AS303" s="7"/>
      <c r="AT303" s="1"/>
      <c r="AU303" s="1"/>
    </row>
    <row r="304" spans="44:47" ht="15.75" customHeight="1" x14ac:dyDescent="0.25">
      <c r="AR304" s="6"/>
      <c r="AS304" s="7"/>
      <c r="AT304" s="1"/>
      <c r="AU304" s="1"/>
    </row>
    <row r="305" spans="44:47" ht="15.75" customHeight="1" x14ac:dyDescent="0.25">
      <c r="AR305" s="6"/>
      <c r="AS305" s="7"/>
      <c r="AT305" s="1"/>
      <c r="AU305" s="1"/>
    </row>
    <row r="306" spans="44:47" ht="15.75" customHeight="1" x14ac:dyDescent="0.25">
      <c r="AR306" s="6"/>
      <c r="AS306" s="7"/>
      <c r="AT306" s="1"/>
      <c r="AU306" s="1"/>
    </row>
    <row r="307" spans="44:47" ht="15.75" customHeight="1" x14ac:dyDescent="0.25">
      <c r="AR307" s="6"/>
      <c r="AS307" s="7"/>
      <c r="AT307" s="1"/>
      <c r="AU307" s="1"/>
    </row>
    <row r="308" spans="44:47" ht="15.75" customHeight="1" x14ac:dyDescent="0.25">
      <c r="AR308" s="6"/>
      <c r="AS308" s="7"/>
      <c r="AT308" s="1"/>
      <c r="AU308" s="1"/>
    </row>
    <row r="309" spans="44:47" ht="15.75" customHeight="1" x14ac:dyDescent="0.25">
      <c r="AR309" s="6"/>
      <c r="AS309" s="7"/>
      <c r="AT309" s="1"/>
      <c r="AU309" s="1"/>
    </row>
    <row r="310" spans="44:47" ht="15.75" customHeight="1" x14ac:dyDescent="0.25">
      <c r="AR310" s="6"/>
      <c r="AS310" s="7"/>
      <c r="AT310" s="1"/>
      <c r="AU310" s="1"/>
    </row>
    <row r="311" spans="44:47" ht="15.75" customHeight="1" x14ac:dyDescent="0.25">
      <c r="AR311" s="6"/>
      <c r="AS311" s="7"/>
      <c r="AT311" s="1"/>
      <c r="AU311" s="1"/>
    </row>
    <row r="312" spans="44:47" ht="15.75" customHeight="1" x14ac:dyDescent="0.25">
      <c r="AR312" s="6"/>
      <c r="AS312" s="7"/>
      <c r="AT312" s="1"/>
      <c r="AU312" s="1"/>
    </row>
    <row r="313" spans="44:47" ht="15.75" customHeight="1" x14ac:dyDescent="0.25">
      <c r="AR313" s="6"/>
      <c r="AS313" s="7"/>
      <c r="AT313" s="1"/>
      <c r="AU313" s="1"/>
    </row>
    <row r="314" spans="44:47" ht="15.75" customHeight="1" x14ac:dyDescent="0.25">
      <c r="AR314" s="6"/>
      <c r="AS314" s="7"/>
      <c r="AT314" s="1"/>
      <c r="AU314" s="1"/>
    </row>
    <row r="315" spans="44:47" ht="15.75" customHeight="1" x14ac:dyDescent="0.25">
      <c r="AR315" s="6"/>
      <c r="AS315" s="7"/>
      <c r="AT315" s="1"/>
      <c r="AU315" s="1"/>
    </row>
    <row r="316" spans="44:47" ht="15.75" customHeight="1" x14ac:dyDescent="0.25">
      <c r="AR316" s="6"/>
      <c r="AS316" s="7"/>
      <c r="AT316" s="1"/>
      <c r="AU316" s="1"/>
    </row>
    <row r="317" spans="44:47" ht="15.75" customHeight="1" x14ac:dyDescent="0.25">
      <c r="AR317" s="6"/>
      <c r="AS317" s="7"/>
      <c r="AT317" s="1"/>
      <c r="AU317" s="1"/>
    </row>
    <row r="318" spans="44:47" ht="15.75" customHeight="1" x14ac:dyDescent="0.25">
      <c r="AR318" s="6"/>
      <c r="AS318" s="7"/>
      <c r="AT318" s="1"/>
      <c r="AU318" s="1"/>
    </row>
    <row r="319" spans="44:47" ht="15.75" customHeight="1" x14ac:dyDescent="0.25">
      <c r="AR319" s="6"/>
      <c r="AS319" s="7"/>
      <c r="AT319" s="1"/>
      <c r="AU319" s="1"/>
    </row>
    <row r="320" spans="44:47" ht="15.75" customHeight="1" x14ac:dyDescent="0.25">
      <c r="AR320" s="6"/>
      <c r="AS320" s="7"/>
      <c r="AT320" s="1"/>
      <c r="AU320" s="1"/>
    </row>
    <row r="321" spans="44:47" ht="15.75" customHeight="1" x14ac:dyDescent="0.25">
      <c r="AR321" s="6"/>
      <c r="AS321" s="7"/>
      <c r="AT321" s="1"/>
      <c r="AU321" s="1"/>
    </row>
    <row r="322" spans="44:47" ht="15.75" customHeight="1" x14ac:dyDescent="0.25">
      <c r="AR322" s="6"/>
      <c r="AS322" s="7"/>
      <c r="AT322" s="1"/>
      <c r="AU322" s="1"/>
    </row>
    <row r="323" spans="44:47" ht="15.75" customHeight="1" x14ac:dyDescent="0.25">
      <c r="AR323" s="6"/>
      <c r="AS323" s="7"/>
      <c r="AT323" s="1"/>
      <c r="AU323" s="1"/>
    </row>
    <row r="324" spans="44:47" ht="15.75" customHeight="1" x14ac:dyDescent="0.25">
      <c r="AR324" s="6"/>
      <c r="AS324" s="7"/>
      <c r="AT324" s="1"/>
      <c r="AU324" s="1"/>
    </row>
    <row r="325" spans="44:47" ht="15.75" customHeight="1" x14ac:dyDescent="0.25">
      <c r="AR325" s="6"/>
      <c r="AS325" s="7"/>
      <c r="AT325" s="1"/>
      <c r="AU325" s="1"/>
    </row>
    <row r="326" spans="44:47" ht="15.75" customHeight="1" x14ac:dyDescent="0.25">
      <c r="AR326" s="6"/>
      <c r="AS326" s="7"/>
      <c r="AT326" s="1"/>
      <c r="AU326" s="1"/>
    </row>
    <row r="327" spans="44:47" ht="15.75" customHeight="1" x14ac:dyDescent="0.25">
      <c r="AR327" s="6"/>
      <c r="AS327" s="7"/>
      <c r="AT327" s="1"/>
      <c r="AU327" s="1"/>
    </row>
    <row r="328" spans="44:47" ht="15.75" customHeight="1" x14ac:dyDescent="0.25">
      <c r="AR328" s="6"/>
      <c r="AS328" s="7"/>
      <c r="AT328" s="1"/>
      <c r="AU328" s="1"/>
    </row>
    <row r="329" spans="44:47" ht="15.75" customHeight="1" x14ac:dyDescent="0.25">
      <c r="AR329" s="6"/>
      <c r="AS329" s="7"/>
      <c r="AT329" s="1"/>
      <c r="AU329" s="1"/>
    </row>
    <row r="330" spans="44:47" ht="15.75" customHeight="1" x14ac:dyDescent="0.25">
      <c r="AR330" s="6"/>
      <c r="AS330" s="7"/>
      <c r="AT330" s="1"/>
      <c r="AU330" s="1"/>
    </row>
    <row r="331" spans="44:47" ht="15.75" customHeight="1" x14ac:dyDescent="0.25">
      <c r="AR331" s="6"/>
      <c r="AS331" s="7"/>
      <c r="AT331" s="1"/>
      <c r="AU331" s="1"/>
    </row>
    <row r="332" spans="44:47" ht="15.75" customHeight="1" x14ac:dyDescent="0.25">
      <c r="AR332" s="6"/>
      <c r="AS332" s="7"/>
      <c r="AT332" s="1"/>
      <c r="AU332" s="1"/>
    </row>
    <row r="333" spans="44:47" ht="15.75" customHeight="1" x14ac:dyDescent="0.25">
      <c r="AR333" s="6"/>
      <c r="AS333" s="7"/>
      <c r="AT333" s="1"/>
      <c r="AU333" s="1"/>
    </row>
    <row r="334" spans="44:47" ht="15.75" customHeight="1" x14ac:dyDescent="0.25">
      <c r="AR334" s="6"/>
      <c r="AS334" s="7"/>
      <c r="AT334" s="1"/>
      <c r="AU334" s="1"/>
    </row>
    <row r="335" spans="44:47" ht="15.75" customHeight="1" x14ac:dyDescent="0.25">
      <c r="AR335" s="6"/>
      <c r="AS335" s="7"/>
      <c r="AT335" s="1"/>
      <c r="AU335" s="1"/>
    </row>
    <row r="336" spans="44:47" ht="15.75" customHeight="1" x14ac:dyDescent="0.25">
      <c r="AR336" s="6"/>
      <c r="AS336" s="7"/>
      <c r="AT336" s="1"/>
      <c r="AU336" s="1"/>
    </row>
    <row r="337" spans="44:47" ht="15.75" customHeight="1" x14ac:dyDescent="0.25">
      <c r="AR337" s="6"/>
      <c r="AS337" s="7"/>
      <c r="AT337" s="1"/>
      <c r="AU337" s="1"/>
    </row>
    <row r="338" spans="44:47" ht="15.75" customHeight="1" x14ac:dyDescent="0.25">
      <c r="AR338" s="6"/>
      <c r="AS338" s="7"/>
      <c r="AT338" s="1"/>
      <c r="AU338" s="1"/>
    </row>
    <row r="339" spans="44:47" ht="15.75" customHeight="1" x14ac:dyDescent="0.25">
      <c r="AR339" s="6"/>
      <c r="AS339" s="7"/>
      <c r="AT339" s="1"/>
      <c r="AU339" s="1"/>
    </row>
    <row r="340" spans="44:47" ht="15.75" customHeight="1" x14ac:dyDescent="0.25">
      <c r="AR340" s="6"/>
      <c r="AS340" s="7"/>
      <c r="AT340" s="1"/>
      <c r="AU340" s="1"/>
    </row>
    <row r="341" spans="44:47" ht="15.75" customHeight="1" x14ac:dyDescent="0.25">
      <c r="AR341" s="6"/>
      <c r="AS341" s="7"/>
      <c r="AT341" s="1"/>
      <c r="AU341" s="1"/>
    </row>
    <row r="342" spans="44:47" ht="15.75" customHeight="1" x14ac:dyDescent="0.25">
      <c r="AR342" s="6"/>
      <c r="AS342" s="7"/>
      <c r="AT342" s="1"/>
      <c r="AU342" s="1"/>
    </row>
    <row r="343" spans="44:47" ht="15.75" customHeight="1" x14ac:dyDescent="0.25">
      <c r="AR343" s="6"/>
      <c r="AS343" s="7"/>
      <c r="AT343" s="1"/>
      <c r="AU343" s="1"/>
    </row>
    <row r="344" spans="44:47" ht="15.75" customHeight="1" x14ac:dyDescent="0.25">
      <c r="AR344" s="6"/>
      <c r="AS344" s="7"/>
      <c r="AT344" s="1"/>
      <c r="AU344" s="1"/>
    </row>
    <row r="345" spans="44:47" ht="15.75" customHeight="1" x14ac:dyDescent="0.25">
      <c r="AR345" s="6"/>
      <c r="AS345" s="7"/>
      <c r="AT345" s="1"/>
      <c r="AU345" s="1"/>
    </row>
    <row r="346" spans="44:47" ht="15.75" customHeight="1" x14ac:dyDescent="0.25">
      <c r="AR346" s="6"/>
      <c r="AS346" s="7"/>
      <c r="AT346" s="1"/>
      <c r="AU346" s="1"/>
    </row>
    <row r="347" spans="44:47" ht="15.75" customHeight="1" x14ac:dyDescent="0.25">
      <c r="AR347" s="6"/>
      <c r="AS347" s="7"/>
      <c r="AT347" s="1"/>
      <c r="AU347" s="1"/>
    </row>
    <row r="348" spans="44:47" ht="15.75" customHeight="1" x14ac:dyDescent="0.25">
      <c r="AR348" s="6"/>
      <c r="AS348" s="7"/>
      <c r="AT348" s="1"/>
      <c r="AU348" s="1"/>
    </row>
    <row r="349" spans="44:47" ht="15.75" customHeight="1" x14ac:dyDescent="0.25">
      <c r="AR349" s="6"/>
      <c r="AS349" s="7"/>
      <c r="AT349" s="1"/>
      <c r="AU349" s="1"/>
    </row>
    <row r="350" spans="44:47" ht="15.75" customHeight="1" x14ac:dyDescent="0.25">
      <c r="AR350" s="6"/>
      <c r="AS350" s="7"/>
      <c r="AT350" s="1"/>
      <c r="AU350" s="1"/>
    </row>
    <row r="351" spans="44:47" ht="15.75" customHeight="1" x14ac:dyDescent="0.25">
      <c r="AR351" s="6"/>
      <c r="AS351" s="7"/>
      <c r="AT351" s="1"/>
      <c r="AU351" s="1"/>
    </row>
    <row r="352" spans="44:47" ht="15.75" customHeight="1" x14ac:dyDescent="0.25">
      <c r="AR352" s="6"/>
      <c r="AS352" s="7"/>
      <c r="AT352" s="1"/>
      <c r="AU352" s="1"/>
    </row>
    <row r="353" spans="44:47" ht="15.75" customHeight="1" x14ac:dyDescent="0.25">
      <c r="AR353" s="6"/>
      <c r="AS353" s="7"/>
      <c r="AT353" s="1"/>
      <c r="AU353" s="1"/>
    </row>
    <row r="354" spans="44:47" ht="15.75" customHeight="1" x14ac:dyDescent="0.25">
      <c r="AR354" s="6"/>
      <c r="AS354" s="7"/>
      <c r="AT354" s="1"/>
      <c r="AU354" s="1"/>
    </row>
    <row r="355" spans="44:47" ht="15.75" customHeight="1" x14ac:dyDescent="0.25">
      <c r="AR355" s="6"/>
      <c r="AS355" s="7"/>
      <c r="AT355" s="1"/>
      <c r="AU355" s="1"/>
    </row>
    <row r="356" spans="44:47" ht="15.75" customHeight="1" x14ac:dyDescent="0.25">
      <c r="AR356" s="6"/>
      <c r="AS356" s="7"/>
      <c r="AT356" s="1"/>
      <c r="AU356" s="1"/>
    </row>
    <row r="357" spans="44:47" ht="15.75" customHeight="1" x14ac:dyDescent="0.25">
      <c r="AR357" s="6"/>
      <c r="AS357" s="7"/>
      <c r="AT357" s="1"/>
      <c r="AU357" s="1"/>
    </row>
    <row r="358" spans="44:47" ht="15.75" customHeight="1" x14ac:dyDescent="0.25">
      <c r="AR358" s="6"/>
      <c r="AS358" s="7"/>
      <c r="AT358" s="1"/>
      <c r="AU358" s="1"/>
    </row>
    <row r="359" spans="44:47" ht="15.75" customHeight="1" x14ac:dyDescent="0.25">
      <c r="AR359" s="6"/>
      <c r="AS359" s="7"/>
      <c r="AT359" s="1"/>
      <c r="AU359" s="1"/>
    </row>
    <row r="360" spans="44:47" ht="15.75" customHeight="1" x14ac:dyDescent="0.25">
      <c r="AR360" s="6"/>
      <c r="AS360" s="7"/>
      <c r="AT360" s="1"/>
      <c r="AU360" s="1"/>
    </row>
    <row r="361" spans="44:47" ht="15.75" customHeight="1" x14ac:dyDescent="0.25">
      <c r="AR361" s="6"/>
      <c r="AS361" s="7"/>
      <c r="AT361" s="1"/>
      <c r="AU361" s="1"/>
    </row>
    <row r="362" spans="44:47" ht="15.75" customHeight="1" x14ac:dyDescent="0.25">
      <c r="AR362" s="6"/>
      <c r="AS362" s="7"/>
      <c r="AT362" s="1"/>
      <c r="AU362" s="1"/>
    </row>
    <row r="363" spans="44:47" ht="15.75" customHeight="1" x14ac:dyDescent="0.25">
      <c r="AR363" s="6"/>
      <c r="AS363" s="7"/>
      <c r="AT363" s="1"/>
      <c r="AU363" s="1"/>
    </row>
    <row r="364" spans="44:47" ht="15.75" customHeight="1" x14ac:dyDescent="0.25">
      <c r="AR364" s="6"/>
      <c r="AS364" s="7"/>
      <c r="AT364" s="1"/>
      <c r="AU364" s="1"/>
    </row>
    <row r="365" spans="44:47" ht="15.75" customHeight="1" x14ac:dyDescent="0.25">
      <c r="AR365" s="6"/>
      <c r="AS365" s="7"/>
      <c r="AT365" s="1"/>
      <c r="AU365" s="1"/>
    </row>
    <row r="366" spans="44:47" ht="15.75" customHeight="1" x14ac:dyDescent="0.25">
      <c r="AR366" s="6"/>
      <c r="AS366" s="7"/>
      <c r="AT366" s="1"/>
      <c r="AU366" s="1"/>
    </row>
    <row r="367" spans="44:47" ht="15.75" customHeight="1" x14ac:dyDescent="0.25">
      <c r="AR367" s="6"/>
      <c r="AS367" s="7"/>
      <c r="AT367" s="1"/>
      <c r="AU367" s="1"/>
    </row>
    <row r="368" spans="44:47" ht="15.75" customHeight="1" x14ac:dyDescent="0.25">
      <c r="AR368" s="6"/>
      <c r="AS368" s="7"/>
      <c r="AT368" s="1"/>
      <c r="AU368" s="1"/>
    </row>
    <row r="369" spans="44:47" ht="15.75" customHeight="1" x14ac:dyDescent="0.25">
      <c r="AR369" s="6"/>
      <c r="AS369" s="7"/>
      <c r="AT369" s="1"/>
      <c r="AU369" s="1"/>
    </row>
    <row r="370" spans="44:47" ht="15.75" customHeight="1" x14ac:dyDescent="0.25">
      <c r="AR370" s="6"/>
      <c r="AS370" s="7"/>
      <c r="AT370" s="1"/>
      <c r="AU370" s="1"/>
    </row>
    <row r="371" spans="44:47" ht="15.75" customHeight="1" x14ac:dyDescent="0.25">
      <c r="AR371" s="6"/>
      <c r="AS371" s="7"/>
      <c r="AT371" s="1"/>
      <c r="AU371" s="1"/>
    </row>
    <row r="372" spans="44:47" ht="15.75" customHeight="1" x14ac:dyDescent="0.25">
      <c r="AR372" s="6"/>
      <c r="AS372" s="7"/>
      <c r="AT372" s="1"/>
      <c r="AU372" s="1"/>
    </row>
    <row r="373" spans="44:47" ht="15.75" customHeight="1" x14ac:dyDescent="0.25">
      <c r="AR373" s="6"/>
      <c r="AS373" s="7"/>
      <c r="AT373" s="1"/>
      <c r="AU373" s="1"/>
    </row>
    <row r="374" spans="44:47" ht="15.75" customHeight="1" x14ac:dyDescent="0.25">
      <c r="AR374" s="6"/>
      <c r="AS374" s="7"/>
      <c r="AT374" s="1"/>
      <c r="AU374" s="1"/>
    </row>
    <row r="375" spans="44:47" ht="15.75" customHeight="1" x14ac:dyDescent="0.25">
      <c r="AR375" s="6"/>
      <c r="AS375" s="7"/>
      <c r="AT375" s="1"/>
      <c r="AU375" s="1"/>
    </row>
    <row r="376" spans="44:47" ht="15.75" customHeight="1" x14ac:dyDescent="0.25">
      <c r="AR376" s="6"/>
      <c r="AS376" s="7"/>
      <c r="AT376" s="1"/>
      <c r="AU376" s="1"/>
    </row>
    <row r="377" spans="44:47" ht="15.75" customHeight="1" x14ac:dyDescent="0.25">
      <c r="AR377" s="6"/>
      <c r="AS377" s="7"/>
      <c r="AT377" s="1"/>
      <c r="AU377" s="1"/>
    </row>
    <row r="378" spans="44:47" ht="15.75" customHeight="1" x14ac:dyDescent="0.25">
      <c r="AR378" s="6"/>
      <c r="AS378" s="7"/>
      <c r="AT378" s="1"/>
      <c r="AU378" s="1"/>
    </row>
    <row r="379" spans="44:47" ht="15.75" customHeight="1" x14ac:dyDescent="0.25">
      <c r="AR379" s="6"/>
      <c r="AS379" s="7"/>
      <c r="AT379" s="1"/>
      <c r="AU379" s="1"/>
    </row>
    <row r="380" spans="44:47" ht="15.75" customHeight="1" x14ac:dyDescent="0.25">
      <c r="AR380" s="6"/>
      <c r="AS380" s="7"/>
      <c r="AT380" s="1"/>
      <c r="AU380" s="1"/>
    </row>
    <row r="381" spans="44:47" ht="15.75" customHeight="1" x14ac:dyDescent="0.25">
      <c r="AR381" s="6"/>
      <c r="AS381" s="7"/>
      <c r="AT381" s="1"/>
      <c r="AU381" s="1"/>
    </row>
    <row r="382" spans="44:47" ht="15.75" customHeight="1" x14ac:dyDescent="0.25">
      <c r="AR382" s="6"/>
      <c r="AS382" s="7"/>
      <c r="AT382" s="1"/>
      <c r="AU382" s="1"/>
    </row>
    <row r="383" spans="44:47" ht="15.75" customHeight="1" x14ac:dyDescent="0.25">
      <c r="AR383" s="6"/>
      <c r="AS383" s="7"/>
      <c r="AT383" s="1"/>
      <c r="AU383" s="1"/>
    </row>
    <row r="384" spans="44:47" ht="15.75" customHeight="1" x14ac:dyDescent="0.25">
      <c r="AR384" s="6"/>
      <c r="AS384" s="7"/>
      <c r="AT384" s="1"/>
      <c r="AU384" s="1"/>
    </row>
    <row r="385" spans="44:47" ht="15.75" customHeight="1" x14ac:dyDescent="0.25">
      <c r="AR385" s="6"/>
      <c r="AS385" s="7"/>
      <c r="AT385" s="1"/>
      <c r="AU385" s="1"/>
    </row>
    <row r="386" spans="44:47" ht="15.75" customHeight="1" x14ac:dyDescent="0.25">
      <c r="AR386" s="6"/>
      <c r="AS386" s="7"/>
      <c r="AT386" s="1"/>
      <c r="AU386" s="1"/>
    </row>
    <row r="387" spans="44:47" ht="15.75" customHeight="1" x14ac:dyDescent="0.25">
      <c r="AR387" s="6"/>
      <c r="AS387" s="7"/>
      <c r="AT387" s="1"/>
      <c r="AU387" s="1"/>
    </row>
    <row r="388" spans="44:47" ht="15.75" customHeight="1" x14ac:dyDescent="0.25">
      <c r="AR388" s="6"/>
      <c r="AS388" s="7"/>
      <c r="AT388" s="1"/>
      <c r="AU388" s="1"/>
    </row>
    <row r="389" spans="44:47" ht="15.75" customHeight="1" x14ac:dyDescent="0.25">
      <c r="AR389" s="6"/>
      <c r="AS389" s="7"/>
      <c r="AT389" s="1"/>
      <c r="AU389" s="1"/>
    </row>
    <row r="390" spans="44:47" ht="15.75" customHeight="1" x14ac:dyDescent="0.25">
      <c r="AR390" s="6"/>
      <c r="AS390" s="7"/>
      <c r="AT390" s="1"/>
      <c r="AU390" s="1"/>
    </row>
    <row r="391" spans="44:47" ht="15.75" customHeight="1" x14ac:dyDescent="0.25">
      <c r="AR391" s="6"/>
      <c r="AS391" s="7"/>
      <c r="AT391" s="1"/>
      <c r="AU391" s="1"/>
    </row>
    <row r="392" spans="44:47" ht="15.75" customHeight="1" x14ac:dyDescent="0.25">
      <c r="AR392" s="6"/>
      <c r="AS392" s="7"/>
      <c r="AT392" s="1"/>
      <c r="AU392" s="1"/>
    </row>
    <row r="393" spans="44:47" ht="15.75" customHeight="1" x14ac:dyDescent="0.25">
      <c r="AR393" s="6"/>
      <c r="AS393" s="7"/>
      <c r="AT393" s="1"/>
      <c r="AU393" s="1"/>
    </row>
    <row r="394" spans="44:47" ht="15.75" customHeight="1" x14ac:dyDescent="0.25">
      <c r="AR394" s="6"/>
      <c r="AS394" s="7"/>
      <c r="AT394" s="1"/>
      <c r="AU394" s="1"/>
    </row>
    <row r="395" spans="44:47" ht="15.75" customHeight="1" x14ac:dyDescent="0.25">
      <c r="AR395" s="6"/>
      <c r="AS395" s="7"/>
      <c r="AT395" s="1"/>
      <c r="AU395" s="1"/>
    </row>
    <row r="396" spans="44:47" ht="15.75" customHeight="1" x14ac:dyDescent="0.25">
      <c r="AR396" s="6"/>
      <c r="AS396" s="7"/>
      <c r="AT396" s="1"/>
      <c r="AU396" s="1"/>
    </row>
    <row r="397" spans="44:47" ht="15.75" customHeight="1" x14ac:dyDescent="0.25">
      <c r="AR397" s="6"/>
      <c r="AS397" s="7"/>
      <c r="AT397" s="1"/>
      <c r="AU397" s="1"/>
    </row>
    <row r="398" spans="44:47" ht="15.75" customHeight="1" x14ac:dyDescent="0.25">
      <c r="AR398" s="6"/>
      <c r="AS398" s="7"/>
      <c r="AT398" s="1"/>
      <c r="AU398" s="1"/>
    </row>
    <row r="399" spans="44:47" ht="15.75" customHeight="1" x14ac:dyDescent="0.25">
      <c r="AR399" s="6"/>
      <c r="AS399" s="7"/>
      <c r="AT399" s="1"/>
      <c r="AU399" s="1"/>
    </row>
    <row r="400" spans="44:47" ht="15.75" customHeight="1" x14ac:dyDescent="0.25">
      <c r="AR400" s="6"/>
      <c r="AS400" s="7"/>
      <c r="AT400" s="1"/>
      <c r="AU400" s="1"/>
    </row>
    <row r="401" spans="44:47" ht="15.75" customHeight="1" x14ac:dyDescent="0.25">
      <c r="AR401" s="6"/>
      <c r="AS401" s="7"/>
      <c r="AT401" s="1"/>
      <c r="AU401" s="1"/>
    </row>
    <row r="402" spans="44:47" ht="15.75" customHeight="1" x14ac:dyDescent="0.25">
      <c r="AR402" s="6"/>
      <c r="AS402" s="7"/>
      <c r="AT402" s="1"/>
      <c r="AU402" s="1"/>
    </row>
    <row r="403" spans="44:47" ht="15.75" customHeight="1" x14ac:dyDescent="0.25">
      <c r="AR403" s="6"/>
      <c r="AS403" s="7"/>
      <c r="AT403" s="1"/>
      <c r="AU403" s="1"/>
    </row>
    <row r="404" spans="44:47" ht="15.75" customHeight="1" x14ac:dyDescent="0.25">
      <c r="AR404" s="6"/>
      <c r="AS404" s="7"/>
      <c r="AT404" s="1"/>
      <c r="AU404" s="1"/>
    </row>
    <row r="405" spans="44:47" ht="15.75" customHeight="1" x14ac:dyDescent="0.25">
      <c r="AR405" s="6"/>
      <c r="AS405" s="7"/>
      <c r="AT405" s="1"/>
      <c r="AU405" s="1"/>
    </row>
    <row r="406" spans="44:47" ht="15.75" customHeight="1" x14ac:dyDescent="0.25">
      <c r="AR406" s="6"/>
      <c r="AS406" s="7"/>
      <c r="AT406" s="1"/>
      <c r="AU406" s="1"/>
    </row>
    <row r="407" spans="44:47" ht="15.75" customHeight="1" x14ac:dyDescent="0.25">
      <c r="AR407" s="6"/>
      <c r="AS407" s="7"/>
      <c r="AT407" s="1"/>
      <c r="AU407" s="1"/>
    </row>
    <row r="408" spans="44:47" ht="15.75" customHeight="1" x14ac:dyDescent="0.25">
      <c r="AR408" s="6"/>
      <c r="AS408" s="7"/>
      <c r="AT408" s="1"/>
      <c r="AU408" s="1"/>
    </row>
    <row r="409" spans="44:47" ht="15.75" customHeight="1" x14ac:dyDescent="0.25">
      <c r="AR409" s="6"/>
      <c r="AS409" s="7"/>
      <c r="AT409" s="1"/>
      <c r="AU409" s="1"/>
    </row>
    <row r="410" spans="44:47" ht="15.75" customHeight="1" x14ac:dyDescent="0.25">
      <c r="AR410" s="6"/>
      <c r="AS410" s="7"/>
      <c r="AT410" s="1"/>
      <c r="AU410" s="1"/>
    </row>
    <row r="411" spans="44:47" ht="15.75" customHeight="1" x14ac:dyDescent="0.25">
      <c r="AR411" s="6"/>
      <c r="AS411" s="7"/>
      <c r="AT411" s="1"/>
      <c r="AU411" s="1"/>
    </row>
    <row r="412" spans="44:47" ht="15.75" customHeight="1" x14ac:dyDescent="0.25">
      <c r="AR412" s="6"/>
      <c r="AS412" s="7"/>
      <c r="AT412" s="1"/>
      <c r="AU412" s="1"/>
    </row>
    <row r="413" spans="44:47" ht="15.75" customHeight="1" x14ac:dyDescent="0.25">
      <c r="AR413" s="6"/>
      <c r="AS413" s="7"/>
      <c r="AT413" s="1"/>
      <c r="AU413" s="1"/>
    </row>
    <row r="414" spans="44:47" ht="15.75" customHeight="1" x14ac:dyDescent="0.25">
      <c r="AR414" s="6"/>
      <c r="AS414" s="7"/>
      <c r="AT414" s="1"/>
      <c r="AU414" s="1"/>
    </row>
    <row r="415" spans="44:47" ht="15.75" customHeight="1" x14ac:dyDescent="0.25">
      <c r="AR415" s="6"/>
      <c r="AS415" s="7"/>
      <c r="AT415" s="1"/>
      <c r="AU415" s="1"/>
    </row>
    <row r="416" spans="44:47" ht="15.75" customHeight="1" x14ac:dyDescent="0.25">
      <c r="AR416" s="6"/>
      <c r="AS416" s="7"/>
      <c r="AT416" s="1"/>
      <c r="AU416" s="1"/>
    </row>
    <row r="417" spans="44:47" ht="15.75" customHeight="1" x14ac:dyDescent="0.25">
      <c r="AR417" s="6"/>
      <c r="AS417" s="7"/>
      <c r="AT417" s="1"/>
      <c r="AU417" s="1"/>
    </row>
    <row r="418" spans="44:47" ht="15.75" customHeight="1" x14ac:dyDescent="0.25">
      <c r="AR418" s="6"/>
      <c r="AS418" s="7"/>
      <c r="AT418" s="1"/>
      <c r="AU418" s="1"/>
    </row>
    <row r="419" spans="44:47" ht="15.75" customHeight="1" x14ac:dyDescent="0.25">
      <c r="AR419" s="6"/>
      <c r="AS419" s="7"/>
      <c r="AT419" s="1"/>
      <c r="AU419" s="1"/>
    </row>
    <row r="420" spans="44:47" ht="15.75" customHeight="1" x14ac:dyDescent="0.25">
      <c r="AR420" s="6"/>
      <c r="AS420" s="7"/>
      <c r="AT420" s="1"/>
      <c r="AU420" s="1"/>
    </row>
    <row r="421" spans="44:47" ht="15.75" customHeight="1" x14ac:dyDescent="0.25">
      <c r="AR421" s="6"/>
      <c r="AS421" s="7"/>
      <c r="AT421" s="1"/>
      <c r="AU421" s="1"/>
    </row>
    <row r="422" spans="44:47" ht="15.75" customHeight="1" x14ac:dyDescent="0.25">
      <c r="AR422" s="6"/>
      <c r="AS422" s="7"/>
      <c r="AT422" s="1"/>
      <c r="AU422" s="1"/>
    </row>
    <row r="423" spans="44:47" ht="15.75" customHeight="1" x14ac:dyDescent="0.25">
      <c r="AR423" s="6"/>
      <c r="AS423" s="7"/>
      <c r="AT423" s="1"/>
      <c r="AU423" s="1"/>
    </row>
    <row r="424" spans="44:47" ht="15.75" customHeight="1" x14ac:dyDescent="0.25">
      <c r="AR424" s="6"/>
      <c r="AS424" s="7"/>
      <c r="AT424" s="1"/>
      <c r="AU424" s="1"/>
    </row>
    <row r="425" spans="44:47" ht="15.75" customHeight="1" x14ac:dyDescent="0.25">
      <c r="AR425" s="6"/>
      <c r="AS425" s="7"/>
      <c r="AT425" s="1"/>
      <c r="AU425" s="1"/>
    </row>
    <row r="426" spans="44:47" ht="15.75" customHeight="1" x14ac:dyDescent="0.25">
      <c r="AR426" s="6"/>
      <c r="AS426" s="7"/>
      <c r="AT426" s="1"/>
      <c r="AU426" s="1"/>
    </row>
    <row r="427" spans="44:47" ht="15.75" customHeight="1" x14ac:dyDescent="0.25">
      <c r="AR427" s="6"/>
      <c r="AS427" s="7"/>
      <c r="AT427" s="1"/>
      <c r="AU427" s="1"/>
    </row>
    <row r="428" spans="44:47" ht="15.75" customHeight="1" x14ac:dyDescent="0.25">
      <c r="AR428" s="6"/>
      <c r="AS428" s="7"/>
      <c r="AT428" s="1"/>
      <c r="AU428" s="1"/>
    </row>
    <row r="429" spans="44:47" ht="15.75" customHeight="1" x14ac:dyDescent="0.25">
      <c r="AR429" s="6"/>
      <c r="AS429" s="7"/>
      <c r="AT429" s="1"/>
      <c r="AU429" s="1"/>
    </row>
    <row r="430" spans="44:47" ht="15.75" customHeight="1" x14ac:dyDescent="0.25">
      <c r="AR430" s="6"/>
      <c r="AS430" s="7"/>
      <c r="AT430" s="1"/>
      <c r="AU430" s="1"/>
    </row>
    <row r="431" spans="44:47" ht="15.75" customHeight="1" x14ac:dyDescent="0.25">
      <c r="AR431" s="6"/>
      <c r="AS431" s="7"/>
      <c r="AT431" s="1"/>
      <c r="AU431" s="1"/>
    </row>
    <row r="432" spans="44:47" ht="15.75" customHeight="1" x14ac:dyDescent="0.25">
      <c r="AR432" s="6"/>
      <c r="AS432" s="7"/>
      <c r="AT432" s="1"/>
      <c r="AU432" s="1"/>
    </row>
    <row r="433" spans="44:47" ht="15.75" customHeight="1" x14ac:dyDescent="0.25">
      <c r="AR433" s="6"/>
      <c r="AS433" s="7"/>
      <c r="AT433" s="1"/>
      <c r="AU433" s="1"/>
    </row>
    <row r="434" spans="44:47" ht="15.75" customHeight="1" x14ac:dyDescent="0.25">
      <c r="AR434" s="6"/>
      <c r="AS434" s="7"/>
      <c r="AT434" s="1"/>
      <c r="AU434" s="1"/>
    </row>
    <row r="435" spans="44:47" ht="15.75" customHeight="1" x14ac:dyDescent="0.25">
      <c r="AR435" s="6"/>
      <c r="AS435" s="7"/>
      <c r="AT435" s="1"/>
      <c r="AU435" s="1"/>
    </row>
    <row r="436" spans="44:47" ht="15.75" customHeight="1" x14ac:dyDescent="0.25">
      <c r="AR436" s="6"/>
      <c r="AS436" s="7"/>
      <c r="AT436" s="1"/>
      <c r="AU436" s="1"/>
    </row>
    <row r="437" spans="44:47" ht="15.75" customHeight="1" x14ac:dyDescent="0.25">
      <c r="AR437" s="6"/>
      <c r="AS437" s="7"/>
      <c r="AT437" s="1"/>
      <c r="AU437" s="1"/>
    </row>
    <row r="438" spans="44:47" ht="15.75" customHeight="1" x14ac:dyDescent="0.25">
      <c r="AR438" s="6"/>
      <c r="AS438" s="7"/>
      <c r="AT438" s="1"/>
      <c r="AU438" s="1"/>
    </row>
    <row r="439" spans="44:47" ht="15.75" customHeight="1" x14ac:dyDescent="0.25">
      <c r="AR439" s="6"/>
      <c r="AS439" s="7"/>
      <c r="AT439" s="1"/>
      <c r="AU439" s="1"/>
    </row>
    <row r="440" spans="44:47" ht="15.75" customHeight="1" x14ac:dyDescent="0.25">
      <c r="AR440" s="6"/>
      <c r="AS440" s="7"/>
      <c r="AT440" s="1"/>
      <c r="AU440" s="1"/>
    </row>
    <row r="441" spans="44:47" ht="15.75" customHeight="1" x14ac:dyDescent="0.25">
      <c r="AR441" s="6"/>
      <c r="AS441" s="7"/>
      <c r="AT441" s="1"/>
      <c r="AU441" s="1"/>
    </row>
    <row r="442" spans="44:47" ht="15.75" customHeight="1" x14ac:dyDescent="0.25">
      <c r="AR442" s="6"/>
      <c r="AS442" s="7"/>
      <c r="AT442" s="1"/>
      <c r="AU442" s="1"/>
    </row>
    <row r="443" spans="44:47" ht="15.75" customHeight="1" x14ac:dyDescent="0.25">
      <c r="AR443" s="6"/>
      <c r="AS443" s="7"/>
      <c r="AT443" s="1"/>
      <c r="AU443" s="1"/>
    </row>
    <row r="444" spans="44:47" ht="15.75" customHeight="1" x14ac:dyDescent="0.25">
      <c r="AR444" s="6"/>
      <c r="AS444" s="7"/>
      <c r="AT444" s="1"/>
      <c r="AU444" s="1"/>
    </row>
    <row r="445" spans="44:47" ht="15.75" customHeight="1" x14ac:dyDescent="0.25">
      <c r="AR445" s="6"/>
      <c r="AS445" s="7"/>
      <c r="AT445" s="1"/>
      <c r="AU445" s="1"/>
    </row>
    <row r="446" spans="44:47" ht="15.75" customHeight="1" x14ac:dyDescent="0.25">
      <c r="AR446" s="6"/>
      <c r="AS446" s="7"/>
      <c r="AT446" s="1"/>
      <c r="AU446" s="1"/>
    </row>
    <row r="447" spans="44:47" ht="15.75" customHeight="1" x14ac:dyDescent="0.25">
      <c r="AR447" s="6"/>
      <c r="AS447" s="7"/>
      <c r="AT447" s="1"/>
      <c r="AU447" s="1"/>
    </row>
    <row r="448" spans="44:47" ht="15.75" customHeight="1" x14ac:dyDescent="0.25">
      <c r="AR448" s="6"/>
      <c r="AS448" s="7"/>
      <c r="AT448" s="1"/>
      <c r="AU448" s="1"/>
    </row>
    <row r="449" spans="44:47" ht="15.75" customHeight="1" x14ac:dyDescent="0.25">
      <c r="AR449" s="6"/>
      <c r="AS449" s="7"/>
      <c r="AT449" s="1"/>
      <c r="AU449" s="1"/>
    </row>
    <row r="450" spans="44:47" ht="15.75" customHeight="1" x14ac:dyDescent="0.25">
      <c r="AR450" s="6"/>
      <c r="AS450" s="7"/>
      <c r="AT450" s="1"/>
      <c r="AU450" s="1"/>
    </row>
    <row r="451" spans="44:47" ht="15.75" customHeight="1" x14ac:dyDescent="0.25">
      <c r="AR451" s="6"/>
      <c r="AS451" s="7"/>
      <c r="AT451" s="1"/>
      <c r="AU451" s="1"/>
    </row>
    <row r="452" spans="44:47" ht="15.75" customHeight="1" x14ac:dyDescent="0.25">
      <c r="AR452" s="6"/>
      <c r="AS452" s="7"/>
      <c r="AT452" s="1"/>
      <c r="AU452" s="1"/>
    </row>
    <row r="453" spans="44:47" ht="15.75" customHeight="1" x14ac:dyDescent="0.25">
      <c r="AR453" s="6"/>
      <c r="AS453" s="7"/>
      <c r="AT453" s="1"/>
      <c r="AU453" s="1"/>
    </row>
    <row r="454" spans="44:47" ht="15.75" customHeight="1" x14ac:dyDescent="0.25">
      <c r="AR454" s="6"/>
      <c r="AS454" s="7"/>
      <c r="AT454" s="1"/>
      <c r="AU454" s="1"/>
    </row>
    <row r="455" spans="44:47" ht="15.75" customHeight="1" x14ac:dyDescent="0.25">
      <c r="AR455" s="6"/>
      <c r="AS455" s="7"/>
      <c r="AT455" s="1"/>
      <c r="AU455" s="1"/>
    </row>
    <row r="456" spans="44:47" ht="15.75" customHeight="1" x14ac:dyDescent="0.25">
      <c r="AR456" s="6"/>
      <c r="AS456" s="7"/>
      <c r="AT456" s="1"/>
      <c r="AU456" s="1"/>
    </row>
    <row r="457" spans="44:47" ht="15.75" customHeight="1" x14ac:dyDescent="0.25">
      <c r="AR457" s="6"/>
      <c r="AS457" s="7"/>
      <c r="AT457" s="1"/>
      <c r="AU457" s="1"/>
    </row>
    <row r="458" spans="44:47" ht="15.75" customHeight="1" x14ac:dyDescent="0.25">
      <c r="AR458" s="6"/>
      <c r="AS458" s="7"/>
      <c r="AT458" s="1"/>
      <c r="AU458" s="1"/>
    </row>
    <row r="459" spans="44:47" ht="15.75" customHeight="1" x14ac:dyDescent="0.25">
      <c r="AR459" s="6"/>
      <c r="AS459" s="7"/>
      <c r="AT459" s="1"/>
      <c r="AU459" s="1"/>
    </row>
    <row r="460" spans="44:47" ht="15.75" customHeight="1" x14ac:dyDescent="0.25">
      <c r="AR460" s="6"/>
      <c r="AS460" s="7"/>
      <c r="AT460" s="1"/>
      <c r="AU460" s="1"/>
    </row>
    <row r="461" spans="44:47" ht="15.75" customHeight="1" x14ac:dyDescent="0.25">
      <c r="AR461" s="6"/>
      <c r="AS461" s="7"/>
      <c r="AT461" s="1"/>
      <c r="AU461" s="1"/>
    </row>
    <row r="462" spans="44:47" ht="15.75" customHeight="1" x14ac:dyDescent="0.25">
      <c r="AR462" s="6"/>
      <c r="AS462" s="7"/>
      <c r="AT462" s="1"/>
      <c r="AU462" s="1"/>
    </row>
    <row r="463" spans="44:47" ht="15.75" customHeight="1" x14ac:dyDescent="0.25">
      <c r="AR463" s="6"/>
      <c r="AS463" s="7"/>
      <c r="AT463" s="1"/>
      <c r="AU463" s="1"/>
    </row>
    <row r="464" spans="44:47" ht="15.75" customHeight="1" x14ac:dyDescent="0.25">
      <c r="AR464" s="6"/>
      <c r="AS464" s="7"/>
      <c r="AT464" s="1"/>
      <c r="AU464" s="1"/>
    </row>
    <row r="465" spans="44:47" ht="15.75" customHeight="1" x14ac:dyDescent="0.25">
      <c r="AR465" s="6"/>
      <c r="AS465" s="7"/>
      <c r="AT465" s="1"/>
      <c r="AU465" s="1"/>
    </row>
    <row r="466" spans="44:47" ht="15.75" customHeight="1" x14ac:dyDescent="0.25">
      <c r="AR466" s="6"/>
      <c r="AS466" s="7"/>
      <c r="AT466" s="1"/>
      <c r="AU466" s="1"/>
    </row>
    <row r="467" spans="44:47" ht="15.75" customHeight="1" x14ac:dyDescent="0.25">
      <c r="AR467" s="6"/>
      <c r="AS467" s="7"/>
      <c r="AT467" s="1"/>
      <c r="AU467" s="1"/>
    </row>
    <row r="468" spans="44:47" ht="15.75" customHeight="1" x14ac:dyDescent="0.25">
      <c r="AR468" s="6"/>
      <c r="AS468" s="7"/>
      <c r="AT468" s="1"/>
      <c r="AU468" s="1"/>
    </row>
    <row r="469" spans="44:47" ht="15.75" customHeight="1" x14ac:dyDescent="0.25">
      <c r="AR469" s="6"/>
      <c r="AS469" s="7"/>
      <c r="AT469" s="1"/>
      <c r="AU469" s="1"/>
    </row>
    <row r="470" spans="44:47" ht="15.75" customHeight="1" x14ac:dyDescent="0.25">
      <c r="AR470" s="6"/>
      <c r="AS470" s="7"/>
      <c r="AT470" s="1"/>
      <c r="AU470" s="1"/>
    </row>
    <row r="471" spans="44:47" ht="15.75" customHeight="1" x14ac:dyDescent="0.25">
      <c r="AR471" s="6"/>
      <c r="AS471" s="7"/>
      <c r="AT471" s="1"/>
      <c r="AU471" s="1"/>
    </row>
    <row r="472" spans="44:47" ht="15.75" customHeight="1" x14ac:dyDescent="0.25">
      <c r="AR472" s="6"/>
      <c r="AS472" s="7"/>
      <c r="AT472" s="1"/>
      <c r="AU472" s="1"/>
    </row>
    <row r="473" spans="44:47" ht="15.75" customHeight="1" x14ac:dyDescent="0.25">
      <c r="AR473" s="6"/>
      <c r="AS473" s="7"/>
      <c r="AT473" s="1"/>
      <c r="AU473" s="1"/>
    </row>
    <row r="474" spans="44:47" ht="15.75" customHeight="1" x14ac:dyDescent="0.25">
      <c r="AR474" s="6"/>
      <c r="AS474" s="7"/>
      <c r="AT474" s="1"/>
      <c r="AU474" s="1"/>
    </row>
    <row r="475" spans="44:47" ht="15.75" customHeight="1" x14ac:dyDescent="0.25">
      <c r="AR475" s="6"/>
      <c r="AS475" s="7"/>
      <c r="AT475" s="1"/>
      <c r="AU475" s="1"/>
    </row>
    <row r="476" spans="44:47" ht="15.75" customHeight="1" x14ac:dyDescent="0.25">
      <c r="AR476" s="6"/>
      <c r="AS476" s="7"/>
      <c r="AT476" s="1"/>
      <c r="AU476" s="1"/>
    </row>
    <row r="477" spans="44:47" ht="15.75" customHeight="1" x14ac:dyDescent="0.25">
      <c r="AR477" s="6"/>
      <c r="AS477" s="7"/>
      <c r="AT477" s="1"/>
      <c r="AU477" s="1"/>
    </row>
    <row r="478" spans="44:47" ht="15.75" customHeight="1" x14ac:dyDescent="0.25">
      <c r="AR478" s="6"/>
      <c r="AS478" s="7"/>
      <c r="AT478" s="1"/>
      <c r="AU478" s="1"/>
    </row>
    <row r="479" spans="44:47" ht="15.75" customHeight="1" x14ac:dyDescent="0.25">
      <c r="AR479" s="6"/>
      <c r="AS479" s="7"/>
      <c r="AT479" s="1"/>
      <c r="AU479" s="1"/>
    </row>
    <row r="480" spans="44:47" ht="15.75" customHeight="1" x14ac:dyDescent="0.25">
      <c r="AR480" s="6"/>
      <c r="AS480" s="7"/>
      <c r="AT480" s="1"/>
      <c r="AU480" s="1"/>
    </row>
    <row r="481" spans="44:47" ht="15.75" customHeight="1" x14ac:dyDescent="0.25">
      <c r="AR481" s="6"/>
      <c r="AS481" s="7"/>
      <c r="AT481" s="1"/>
      <c r="AU481" s="1"/>
    </row>
    <row r="482" spans="44:47" ht="15.75" customHeight="1" x14ac:dyDescent="0.25">
      <c r="AR482" s="6"/>
      <c r="AS482" s="7"/>
      <c r="AT482" s="1"/>
      <c r="AU482" s="1"/>
    </row>
    <row r="483" spans="44:47" ht="15.75" customHeight="1" x14ac:dyDescent="0.25">
      <c r="AR483" s="6"/>
      <c r="AS483" s="7"/>
      <c r="AT483" s="1"/>
      <c r="AU483" s="1"/>
    </row>
    <row r="484" spans="44:47" ht="15.75" customHeight="1" x14ac:dyDescent="0.25">
      <c r="AR484" s="6"/>
      <c r="AS484" s="7"/>
      <c r="AT484" s="1"/>
      <c r="AU484" s="1"/>
    </row>
    <row r="485" spans="44:47" ht="15.75" customHeight="1" x14ac:dyDescent="0.25">
      <c r="AR485" s="6"/>
      <c r="AS485" s="7"/>
      <c r="AT485" s="1"/>
      <c r="AU485" s="1"/>
    </row>
    <row r="486" spans="44:47" ht="15.75" customHeight="1" x14ac:dyDescent="0.25">
      <c r="AR486" s="6"/>
      <c r="AS486" s="7"/>
      <c r="AT486" s="1"/>
      <c r="AU486" s="1"/>
    </row>
    <row r="487" spans="44:47" ht="15.75" customHeight="1" x14ac:dyDescent="0.25">
      <c r="AR487" s="6"/>
      <c r="AS487" s="7"/>
      <c r="AT487" s="1"/>
      <c r="AU487" s="1"/>
    </row>
    <row r="488" spans="44:47" ht="15.75" customHeight="1" x14ac:dyDescent="0.25">
      <c r="AR488" s="6"/>
      <c r="AS488" s="7"/>
      <c r="AT488" s="1"/>
      <c r="AU488" s="1"/>
    </row>
    <row r="489" spans="44:47" ht="15.75" customHeight="1" x14ac:dyDescent="0.25">
      <c r="AR489" s="6"/>
      <c r="AS489" s="7"/>
      <c r="AT489" s="1"/>
      <c r="AU489" s="1"/>
    </row>
    <row r="490" spans="44:47" ht="15.75" customHeight="1" x14ac:dyDescent="0.25">
      <c r="AR490" s="6"/>
      <c r="AS490" s="7"/>
      <c r="AT490" s="1"/>
      <c r="AU490" s="1"/>
    </row>
    <row r="491" spans="44:47" ht="15.75" customHeight="1" x14ac:dyDescent="0.25">
      <c r="AR491" s="6"/>
      <c r="AS491" s="7"/>
      <c r="AT491" s="1"/>
      <c r="AU491" s="1"/>
    </row>
    <row r="492" spans="44:47" ht="15.75" customHeight="1" x14ac:dyDescent="0.25">
      <c r="AR492" s="6"/>
      <c r="AS492" s="7"/>
      <c r="AT492" s="1"/>
      <c r="AU492" s="1"/>
    </row>
    <row r="493" spans="44:47" ht="15.75" customHeight="1" x14ac:dyDescent="0.25">
      <c r="AR493" s="6"/>
      <c r="AS493" s="7"/>
      <c r="AT493" s="1"/>
      <c r="AU493" s="1"/>
    </row>
    <row r="494" spans="44:47" ht="15.75" customHeight="1" x14ac:dyDescent="0.25">
      <c r="AR494" s="6"/>
      <c r="AS494" s="7"/>
      <c r="AT494" s="1"/>
      <c r="AU494" s="1"/>
    </row>
    <row r="495" spans="44:47" ht="15.75" customHeight="1" x14ac:dyDescent="0.25">
      <c r="AR495" s="6"/>
      <c r="AS495" s="7"/>
      <c r="AT495" s="1"/>
      <c r="AU495" s="1"/>
    </row>
    <row r="496" spans="44:47" ht="15.75" customHeight="1" x14ac:dyDescent="0.25">
      <c r="AR496" s="6"/>
      <c r="AS496" s="7"/>
      <c r="AT496" s="1"/>
      <c r="AU496" s="1"/>
    </row>
    <row r="497" spans="44:47" ht="15.75" customHeight="1" x14ac:dyDescent="0.25">
      <c r="AR497" s="6"/>
      <c r="AS497" s="7"/>
      <c r="AT497" s="1"/>
      <c r="AU497" s="1"/>
    </row>
    <row r="498" spans="44:47" ht="15.75" customHeight="1" x14ac:dyDescent="0.25">
      <c r="AR498" s="6"/>
      <c r="AS498" s="7"/>
      <c r="AT498" s="1"/>
      <c r="AU498" s="1"/>
    </row>
    <row r="499" spans="44:47" ht="15.75" customHeight="1" x14ac:dyDescent="0.25">
      <c r="AR499" s="6"/>
      <c r="AS499" s="7"/>
      <c r="AT499" s="1"/>
      <c r="AU499" s="1"/>
    </row>
    <row r="500" spans="44:47" ht="15.75" customHeight="1" x14ac:dyDescent="0.25">
      <c r="AR500" s="6"/>
      <c r="AS500" s="7"/>
      <c r="AT500" s="1"/>
      <c r="AU500" s="1"/>
    </row>
    <row r="501" spans="44:47" ht="15.75" customHeight="1" x14ac:dyDescent="0.25">
      <c r="AR501" s="6"/>
      <c r="AS501" s="7"/>
      <c r="AT501" s="1"/>
      <c r="AU501" s="1"/>
    </row>
    <row r="502" spans="44:47" ht="15.75" customHeight="1" x14ac:dyDescent="0.25">
      <c r="AR502" s="6"/>
      <c r="AS502" s="7"/>
      <c r="AT502" s="1"/>
      <c r="AU502" s="1"/>
    </row>
    <row r="503" spans="44:47" ht="15.75" customHeight="1" x14ac:dyDescent="0.25">
      <c r="AR503" s="6"/>
      <c r="AS503" s="7"/>
      <c r="AT503" s="1"/>
      <c r="AU503" s="1"/>
    </row>
    <row r="504" spans="44:47" ht="15.75" customHeight="1" x14ac:dyDescent="0.25">
      <c r="AR504" s="6"/>
      <c r="AS504" s="7"/>
      <c r="AT504" s="1"/>
      <c r="AU504" s="1"/>
    </row>
    <row r="505" spans="44:47" ht="15.75" customHeight="1" x14ac:dyDescent="0.25">
      <c r="AR505" s="6"/>
      <c r="AS505" s="7"/>
      <c r="AT505" s="1"/>
      <c r="AU505" s="1"/>
    </row>
    <row r="506" spans="44:47" ht="15.75" customHeight="1" x14ac:dyDescent="0.25">
      <c r="AR506" s="6"/>
      <c r="AS506" s="7"/>
      <c r="AT506" s="1"/>
      <c r="AU506" s="1"/>
    </row>
    <row r="507" spans="44:47" ht="15.75" customHeight="1" x14ac:dyDescent="0.25">
      <c r="AR507" s="6"/>
      <c r="AS507" s="7"/>
      <c r="AT507" s="1"/>
      <c r="AU507" s="1"/>
    </row>
    <row r="508" spans="44:47" ht="15.75" customHeight="1" x14ac:dyDescent="0.25">
      <c r="AR508" s="6"/>
      <c r="AS508" s="7"/>
      <c r="AT508" s="1"/>
      <c r="AU508" s="1"/>
    </row>
    <row r="509" spans="44:47" ht="15.75" customHeight="1" x14ac:dyDescent="0.25">
      <c r="AR509" s="6"/>
      <c r="AS509" s="7"/>
      <c r="AT509" s="1"/>
      <c r="AU509" s="1"/>
    </row>
    <row r="510" spans="44:47" ht="15.75" customHeight="1" x14ac:dyDescent="0.25">
      <c r="AR510" s="6"/>
      <c r="AS510" s="7"/>
      <c r="AT510" s="1"/>
      <c r="AU510" s="1"/>
    </row>
    <row r="511" spans="44:47" ht="15.75" customHeight="1" x14ac:dyDescent="0.25">
      <c r="AR511" s="6"/>
      <c r="AS511" s="7"/>
      <c r="AT511" s="1"/>
      <c r="AU511" s="1"/>
    </row>
    <row r="512" spans="44:47" ht="15.75" customHeight="1" x14ac:dyDescent="0.25">
      <c r="AR512" s="6"/>
      <c r="AS512" s="7"/>
      <c r="AT512" s="1"/>
      <c r="AU512" s="1"/>
    </row>
    <row r="513" spans="44:47" ht="15.75" customHeight="1" x14ac:dyDescent="0.25">
      <c r="AR513" s="6"/>
      <c r="AS513" s="7"/>
      <c r="AT513" s="1"/>
      <c r="AU513" s="1"/>
    </row>
    <row r="514" spans="44:47" ht="15.75" customHeight="1" x14ac:dyDescent="0.25">
      <c r="AR514" s="6"/>
      <c r="AS514" s="7"/>
      <c r="AT514" s="1"/>
      <c r="AU514" s="1"/>
    </row>
    <row r="515" spans="44:47" ht="15.75" customHeight="1" x14ac:dyDescent="0.25">
      <c r="AR515" s="6"/>
      <c r="AS515" s="7"/>
      <c r="AT515" s="1"/>
      <c r="AU515" s="1"/>
    </row>
    <row r="516" spans="44:47" ht="15.75" customHeight="1" x14ac:dyDescent="0.25">
      <c r="AR516" s="6"/>
      <c r="AS516" s="7"/>
      <c r="AT516" s="1"/>
      <c r="AU516" s="1"/>
    </row>
    <row r="517" spans="44:47" ht="15.75" customHeight="1" x14ac:dyDescent="0.25">
      <c r="AR517" s="6"/>
      <c r="AS517" s="7"/>
      <c r="AT517" s="1"/>
      <c r="AU517" s="1"/>
    </row>
    <row r="518" spans="44:47" ht="15.75" customHeight="1" x14ac:dyDescent="0.25">
      <c r="AR518" s="6"/>
      <c r="AS518" s="7"/>
      <c r="AT518" s="1"/>
      <c r="AU518" s="1"/>
    </row>
    <row r="519" spans="44:47" ht="15.75" customHeight="1" x14ac:dyDescent="0.25">
      <c r="AR519" s="6"/>
      <c r="AS519" s="7"/>
      <c r="AT519" s="1"/>
      <c r="AU519" s="1"/>
    </row>
    <row r="520" spans="44:47" ht="15.75" customHeight="1" x14ac:dyDescent="0.25">
      <c r="AR520" s="6"/>
      <c r="AS520" s="7"/>
      <c r="AT520" s="1"/>
      <c r="AU520" s="1"/>
    </row>
    <row r="521" spans="44:47" ht="15.75" customHeight="1" x14ac:dyDescent="0.25">
      <c r="AR521" s="6"/>
      <c r="AS521" s="7"/>
      <c r="AT521" s="1"/>
      <c r="AU521" s="1"/>
    </row>
    <row r="522" spans="44:47" ht="15.75" customHeight="1" x14ac:dyDescent="0.25">
      <c r="AR522" s="6"/>
      <c r="AS522" s="7"/>
      <c r="AT522" s="1"/>
      <c r="AU522" s="1"/>
    </row>
    <row r="523" spans="44:47" ht="15.75" customHeight="1" x14ac:dyDescent="0.25">
      <c r="AR523" s="6"/>
      <c r="AS523" s="7"/>
      <c r="AT523" s="1"/>
      <c r="AU523" s="1"/>
    </row>
    <row r="524" spans="44:47" ht="15.75" customHeight="1" x14ac:dyDescent="0.25">
      <c r="AR524" s="6"/>
      <c r="AS524" s="7"/>
      <c r="AT524" s="1"/>
      <c r="AU524" s="1"/>
    </row>
    <row r="525" spans="44:47" ht="15.75" customHeight="1" x14ac:dyDescent="0.25">
      <c r="AR525" s="6"/>
      <c r="AS525" s="7"/>
      <c r="AT525" s="1"/>
      <c r="AU525" s="1"/>
    </row>
    <row r="526" spans="44:47" ht="15.75" customHeight="1" x14ac:dyDescent="0.25">
      <c r="AR526" s="6"/>
      <c r="AS526" s="7"/>
      <c r="AT526" s="1"/>
      <c r="AU526" s="1"/>
    </row>
    <row r="527" spans="44:47" ht="15.75" customHeight="1" x14ac:dyDescent="0.25">
      <c r="AR527" s="6"/>
      <c r="AS527" s="7"/>
      <c r="AT527" s="1"/>
      <c r="AU527" s="1"/>
    </row>
    <row r="528" spans="44:47" ht="15.75" customHeight="1" x14ac:dyDescent="0.25">
      <c r="AR528" s="6"/>
      <c r="AS528" s="7"/>
      <c r="AT528" s="1"/>
      <c r="AU528" s="1"/>
    </row>
    <row r="529" spans="44:47" ht="15.75" customHeight="1" x14ac:dyDescent="0.25">
      <c r="AR529" s="6"/>
      <c r="AS529" s="7"/>
      <c r="AT529" s="1"/>
      <c r="AU529" s="1"/>
    </row>
    <row r="530" spans="44:47" ht="15.75" customHeight="1" x14ac:dyDescent="0.25">
      <c r="AR530" s="6"/>
      <c r="AS530" s="7"/>
      <c r="AT530" s="1"/>
      <c r="AU530" s="1"/>
    </row>
    <row r="531" spans="44:47" ht="15.75" customHeight="1" x14ac:dyDescent="0.25">
      <c r="AR531" s="6"/>
      <c r="AS531" s="7"/>
      <c r="AT531" s="1"/>
      <c r="AU531" s="1"/>
    </row>
    <row r="532" spans="44:47" ht="15.75" customHeight="1" x14ac:dyDescent="0.25">
      <c r="AR532" s="6"/>
      <c r="AS532" s="7"/>
      <c r="AT532" s="1"/>
      <c r="AU532" s="1"/>
    </row>
    <row r="533" spans="44:47" ht="15.75" customHeight="1" x14ac:dyDescent="0.25">
      <c r="AR533" s="6"/>
      <c r="AS533" s="7"/>
      <c r="AT533" s="1"/>
      <c r="AU533" s="1"/>
    </row>
    <row r="534" spans="44:47" ht="15.75" customHeight="1" x14ac:dyDescent="0.25">
      <c r="AR534" s="6"/>
      <c r="AS534" s="7"/>
      <c r="AT534" s="1"/>
      <c r="AU534" s="1"/>
    </row>
    <row r="535" spans="44:47" ht="15.75" customHeight="1" x14ac:dyDescent="0.25">
      <c r="AR535" s="6"/>
      <c r="AS535" s="7"/>
      <c r="AT535" s="1"/>
      <c r="AU535" s="1"/>
    </row>
    <row r="536" spans="44:47" ht="15.75" customHeight="1" x14ac:dyDescent="0.25">
      <c r="AR536" s="6"/>
      <c r="AS536" s="7"/>
      <c r="AT536" s="1"/>
      <c r="AU536" s="1"/>
    </row>
    <row r="537" spans="44:47" ht="15.75" customHeight="1" x14ac:dyDescent="0.25">
      <c r="AR537" s="6"/>
      <c r="AS537" s="7"/>
      <c r="AT537" s="1"/>
      <c r="AU537" s="1"/>
    </row>
    <row r="538" spans="44:47" ht="15.75" customHeight="1" x14ac:dyDescent="0.25">
      <c r="AR538" s="6"/>
      <c r="AS538" s="7"/>
      <c r="AT538" s="1"/>
      <c r="AU538" s="1"/>
    </row>
    <row r="539" spans="44:47" ht="15.75" customHeight="1" x14ac:dyDescent="0.25">
      <c r="AR539" s="6"/>
      <c r="AS539" s="7"/>
      <c r="AT539" s="1"/>
      <c r="AU539" s="1"/>
    </row>
    <row r="540" spans="44:47" ht="15.75" customHeight="1" x14ac:dyDescent="0.25">
      <c r="AR540" s="6"/>
      <c r="AS540" s="7"/>
      <c r="AT540" s="1"/>
      <c r="AU540" s="1"/>
    </row>
    <row r="541" spans="44:47" ht="15.75" customHeight="1" x14ac:dyDescent="0.25">
      <c r="AR541" s="6"/>
      <c r="AS541" s="7"/>
      <c r="AT541" s="1"/>
      <c r="AU541" s="1"/>
    </row>
    <row r="542" spans="44:47" ht="15.75" customHeight="1" x14ac:dyDescent="0.25">
      <c r="AR542" s="6"/>
      <c r="AS542" s="7"/>
      <c r="AT542" s="1"/>
      <c r="AU542" s="1"/>
    </row>
    <row r="543" spans="44:47" ht="15.75" customHeight="1" x14ac:dyDescent="0.25">
      <c r="AR543" s="6"/>
      <c r="AS543" s="7"/>
      <c r="AT543" s="1"/>
      <c r="AU543" s="1"/>
    </row>
    <row r="544" spans="44:47" ht="15.75" customHeight="1" x14ac:dyDescent="0.25">
      <c r="AR544" s="6"/>
      <c r="AS544" s="7"/>
      <c r="AT544" s="1"/>
      <c r="AU544" s="1"/>
    </row>
    <row r="545" spans="44:47" ht="15.75" customHeight="1" x14ac:dyDescent="0.25">
      <c r="AR545" s="6"/>
      <c r="AS545" s="7"/>
      <c r="AT545" s="1"/>
      <c r="AU545" s="1"/>
    </row>
    <row r="546" spans="44:47" ht="15.75" customHeight="1" x14ac:dyDescent="0.25">
      <c r="AR546" s="6"/>
      <c r="AS546" s="7"/>
      <c r="AT546" s="1"/>
      <c r="AU546" s="1"/>
    </row>
    <row r="547" spans="44:47" ht="15.75" customHeight="1" x14ac:dyDescent="0.25">
      <c r="AR547" s="6"/>
      <c r="AS547" s="7"/>
      <c r="AT547" s="1"/>
      <c r="AU547" s="1"/>
    </row>
    <row r="548" spans="44:47" ht="15.75" customHeight="1" x14ac:dyDescent="0.25">
      <c r="AR548" s="6"/>
      <c r="AS548" s="7"/>
      <c r="AT548" s="1"/>
      <c r="AU548" s="1"/>
    </row>
    <row r="549" spans="44:47" ht="15.75" customHeight="1" x14ac:dyDescent="0.25">
      <c r="AR549" s="6"/>
      <c r="AS549" s="7"/>
      <c r="AT549" s="1"/>
      <c r="AU549" s="1"/>
    </row>
    <row r="550" spans="44:47" ht="15.75" customHeight="1" x14ac:dyDescent="0.25">
      <c r="AR550" s="6"/>
      <c r="AS550" s="7"/>
      <c r="AT550" s="1"/>
      <c r="AU550" s="1"/>
    </row>
    <row r="551" spans="44:47" ht="15.75" customHeight="1" x14ac:dyDescent="0.25">
      <c r="AR551" s="6"/>
      <c r="AS551" s="7"/>
      <c r="AT551" s="1"/>
      <c r="AU551" s="1"/>
    </row>
    <row r="552" spans="44:47" ht="15.75" customHeight="1" x14ac:dyDescent="0.25">
      <c r="AR552" s="6"/>
      <c r="AS552" s="7"/>
      <c r="AT552" s="1"/>
      <c r="AU552" s="1"/>
    </row>
    <row r="553" spans="44:47" ht="15.75" customHeight="1" x14ac:dyDescent="0.25">
      <c r="AR553" s="6"/>
      <c r="AS553" s="7"/>
      <c r="AT553" s="1"/>
      <c r="AU553" s="1"/>
    </row>
    <row r="554" spans="44:47" ht="15.75" customHeight="1" x14ac:dyDescent="0.25">
      <c r="AR554" s="6"/>
      <c r="AS554" s="7"/>
      <c r="AT554" s="1"/>
      <c r="AU554" s="1"/>
    </row>
    <row r="555" spans="44:47" ht="15.75" customHeight="1" x14ac:dyDescent="0.25">
      <c r="AR555" s="6"/>
      <c r="AS555" s="7"/>
      <c r="AT555" s="1"/>
      <c r="AU555" s="1"/>
    </row>
    <row r="556" spans="44:47" ht="15.75" customHeight="1" x14ac:dyDescent="0.25">
      <c r="AR556" s="6"/>
      <c r="AS556" s="7"/>
      <c r="AT556" s="1"/>
      <c r="AU556" s="1"/>
    </row>
    <row r="557" spans="44:47" ht="15.75" customHeight="1" x14ac:dyDescent="0.25">
      <c r="AR557" s="6"/>
      <c r="AS557" s="7"/>
      <c r="AT557" s="1"/>
      <c r="AU557" s="1"/>
    </row>
    <row r="558" spans="44:47" ht="15.75" customHeight="1" x14ac:dyDescent="0.25">
      <c r="AR558" s="6"/>
      <c r="AS558" s="7"/>
      <c r="AT558" s="1"/>
      <c r="AU558" s="1"/>
    </row>
    <row r="559" spans="44:47" ht="15.75" customHeight="1" x14ac:dyDescent="0.25">
      <c r="AR559" s="6"/>
      <c r="AS559" s="7"/>
      <c r="AT559" s="1"/>
      <c r="AU559" s="1"/>
    </row>
    <row r="560" spans="44:47" ht="15.75" customHeight="1" x14ac:dyDescent="0.25">
      <c r="AR560" s="6"/>
      <c r="AS560" s="7"/>
      <c r="AT560" s="1"/>
      <c r="AU560" s="1"/>
    </row>
    <row r="561" spans="44:47" ht="15.75" customHeight="1" x14ac:dyDescent="0.25">
      <c r="AR561" s="6"/>
      <c r="AS561" s="7"/>
      <c r="AT561" s="1"/>
      <c r="AU561" s="1"/>
    </row>
    <row r="562" spans="44:47" ht="15.75" customHeight="1" x14ac:dyDescent="0.25">
      <c r="AR562" s="6"/>
      <c r="AS562" s="7"/>
      <c r="AT562" s="1"/>
      <c r="AU562" s="1"/>
    </row>
    <row r="563" spans="44:47" ht="15.75" customHeight="1" x14ac:dyDescent="0.25">
      <c r="AR563" s="6"/>
      <c r="AS563" s="7"/>
      <c r="AT563" s="1"/>
      <c r="AU563" s="1"/>
    </row>
    <row r="564" spans="44:47" ht="15.75" customHeight="1" x14ac:dyDescent="0.25">
      <c r="AR564" s="6"/>
      <c r="AS564" s="7"/>
      <c r="AT564" s="1"/>
      <c r="AU564" s="1"/>
    </row>
    <row r="565" spans="44:47" ht="15.75" customHeight="1" x14ac:dyDescent="0.25">
      <c r="AR565" s="6"/>
      <c r="AS565" s="7"/>
      <c r="AT565" s="1"/>
      <c r="AU565" s="1"/>
    </row>
    <row r="566" spans="44:47" ht="15.75" customHeight="1" x14ac:dyDescent="0.25">
      <c r="AR566" s="6"/>
      <c r="AS566" s="7"/>
      <c r="AT566" s="1"/>
      <c r="AU566" s="1"/>
    </row>
    <row r="567" spans="44:47" ht="15.75" customHeight="1" x14ac:dyDescent="0.25">
      <c r="AR567" s="6"/>
      <c r="AS567" s="7"/>
      <c r="AT567" s="1"/>
      <c r="AU567" s="1"/>
    </row>
    <row r="568" spans="44:47" ht="15.75" customHeight="1" x14ac:dyDescent="0.25">
      <c r="AR568" s="6"/>
      <c r="AS568" s="7"/>
      <c r="AT568" s="1"/>
      <c r="AU568" s="1"/>
    </row>
    <row r="569" spans="44:47" ht="15.75" customHeight="1" x14ac:dyDescent="0.25">
      <c r="AR569" s="6"/>
      <c r="AS569" s="7"/>
      <c r="AT569" s="1"/>
      <c r="AU569" s="1"/>
    </row>
    <row r="570" spans="44:47" ht="15.75" customHeight="1" x14ac:dyDescent="0.25">
      <c r="AR570" s="6"/>
      <c r="AS570" s="7"/>
      <c r="AT570" s="1"/>
      <c r="AU570" s="1"/>
    </row>
    <row r="571" spans="44:47" ht="15.75" customHeight="1" x14ac:dyDescent="0.25">
      <c r="AR571" s="6"/>
      <c r="AS571" s="7"/>
      <c r="AT571" s="1"/>
      <c r="AU571" s="1"/>
    </row>
    <row r="572" spans="44:47" ht="15.75" customHeight="1" x14ac:dyDescent="0.25">
      <c r="AR572" s="6"/>
      <c r="AS572" s="7"/>
      <c r="AT572" s="1"/>
      <c r="AU572" s="1"/>
    </row>
    <row r="573" spans="44:47" ht="15.75" customHeight="1" x14ac:dyDescent="0.25">
      <c r="AR573" s="6"/>
      <c r="AS573" s="7"/>
      <c r="AT573" s="1"/>
      <c r="AU573" s="1"/>
    </row>
    <row r="574" spans="44:47" ht="15.75" customHeight="1" x14ac:dyDescent="0.25">
      <c r="AR574" s="6"/>
      <c r="AS574" s="7"/>
      <c r="AT574" s="1"/>
      <c r="AU574" s="1"/>
    </row>
    <row r="575" spans="44:47" ht="15.75" customHeight="1" x14ac:dyDescent="0.25">
      <c r="AR575" s="6"/>
      <c r="AS575" s="7"/>
      <c r="AT575" s="1"/>
      <c r="AU575" s="1"/>
    </row>
    <row r="576" spans="44:47" ht="15.75" customHeight="1" x14ac:dyDescent="0.25">
      <c r="AR576" s="6"/>
      <c r="AS576" s="7"/>
      <c r="AT576" s="1"/>
      <c r="AU576" s="1"/>
    </row>
    <row r="577" spans="44:47" ht="15.75" customHeight="1" x14ac:dyDescent="0.25">
      <c r="AR577" s="6"/>
      <c r="AS577" s="7"/>
      <c r="AT577" s="1"/>
      <c r="AU577" s="1"/>
    </row>
    <row r="578" spans="44:47" ht="15.75" customHeight="1" x14ac:dyDescent="0.25">
      <c r="AR578" s="6"/>
      <c r="AS578" s="7"/>
      <c r="AT578" s="1"/>
      <c r="AU578" s="1"/>
    </row>
    <row r="579" spans="44:47" ht="15.75" customHeight="1" x14ac:dyDescent="0.25">
      <c r="AR579" s="6"/>
      <c r="AS579" s="7"/>
      <c r="AT579" s="1"/>
      <c r="AU579" s="1"/>
    </row>
    <row r="580" spans="44:47" ht="15.75" customHeight="1" x14ac:dyDescent="0.25">
      <c r="AR580" s="6"/>
      <c r="AS580" s="7"/>
      <c r="AT580" s="1"/>
      <c r="AU580" s="1"/>
    </row>
    <row r="581" spans="44:47" ht="15.75" customHeight="1" x14ac:dyDescent="0.25">
      <c r="AR581" s="6"/>
      <c r="AS581" s="7"/>
      <c r="AT581" s="1"/>
      <c r="AU581" s="1"/>
    </row>
    <row r="582" spans="44:47" ht="15.75" customHeight="1" x14ac:dyDescent="0.25">
      <c r="AR582" s="6"/>
      <c r="AS582" s="7"/>
      <c r="AT582" s="1"/>
      <c r="AU582" s="1"/>
    </row>
    <row r="583" spans="44:47" ht="15.75" customHeight="1" x14ac:dyDescent="0.25">
      <c r="AR583" s="6"/>
      <c r="AS583" s="7"/>
      <c r="AT583" s="1"/>
      <c r="AU583" s="1"/>
    </row>
    <row r="584" spans="44:47" ht="15.75" customHeight="1" x14ac:dyDescent="0.25">
      <c r="AR584" s="6"/>
      <c r="AS584" s="7"/>
      <c r="AT584" s="1"/>
      <c r="AU584" s="1"/>
    </row>
    <row r="585" spans="44:47" ht="15.75" customHeight="1" x14ac:dyDescent="0.25">
      <c r="AR585" s="6"/>
      <c r="AS585" s="7"/>
      <c r="AT585" s="1"/>
      <c r="AU585" s="1"/>
    </row>
    <row r="586" spans="44:47" ht="15.75" customHeight="1" x14ac:dyDescent="0.25">
      <c r="AR586" s="6"/>
      <c r="AS586" s="7"/>
      <c r="AT586" s="1"/>
      <c r="AU586" s="1"/>
    </row>
    <row r="587" spans="44:47" ht="15.75" customHeight="1" x14ac:dyDescent="0.25">
      <c r="AR587" s="6"/>
      <c r="AS587" s="7"/>
      <c r="AT587" s="1"/>
      <c r="AU587" s="1"/>
    </row>
    <row r="588" spans="44:47" ht="15.75" customHeight="1" x14ac:dyDescent="0.25">
      <c r="AR588" s="6"/>
      <c r="AS588" s="7"/>
      <c r="AT588" s="1"/>
      <c r="AU588" s="1"/>
    </row>
    <row r="589" spans="44:47" ht="15.75" customHeight="1" x14ac:dyDescent="0.25">
      <c r="AR589" s="6"/>
      <c r="AS589" s="7"/>
      <c r="AT589" s="1"/>
      <c r="AU589" s="1"/>
    </row>
    <row r="590" spans="44:47" ht="15.75" customHeight="1" x14ac:dyDescent="0.25">
      <c r="AR590" s="6"/>
      <c r="AS590" s="7"/>
      <c r="AT590" s="1"/>
      <c r="AU590" s="1"/>
    </row>
    <row r="591" spans="44:47" ht="15.75" customHeight="1" x14ac:dyDescent="0.25">
      <c r="AR591" s="6"/>
      <c r="AS591" s="7"/>
      <c r="AT591" s="1"/>
      <c r="AU591" s="1"/>
    </row>
    <row r="592" spans="44:47" ht="15.75" customHeight="1" x14ac:dyDescent="0.25">
      <c r="AR592" s="6"/>
      <c r="AS592" s="7"/>
      <c r="AT592" s="1"/>
      <c r="AU592" s="1"/>
    </row>
    <row r="593" spans="44:47" ht="15.75" customHeight="1" x14ac:dyDescent="0.25">
      <c r="AR593" s="6"/>
      <c r="AS593" s="7"/>
      <c r="AT593" s="1"/>
      <c r="AU593" s="1"/>
    </row>
    <row r="594" spans="44:47" ht="15.75" customHeight="1" x14ac:dyDescent="0.25">
      <c r="AR594" s="6"/>
      <c r="AS594" s="7"/>
      <c r="AT594" s="1"/>
      <c r="AU594" s="1"/>
    </row>
    <row r="595" spans="44:47" ht="15.75" customHeight="1" x14ac:dyDescent="0.25">
      <c r="AR595" s="6"/>
      <c r="AS595" s="7"/>
      <c r="AT595" s="1"/>
      <c r="AU595" s="1"/>
    </row>
    <row r="596" spans="44:47" ht="15.75" customHeight="1" x14ac:dyDescent="0.25">
      <c r="AR596" s="6"/>
      <c r="AS596" s="7"/>
      <c r="AT596" s="1"/>
      <c r="AU596" s="1"/>
    </row>
    <row r="597" spans="44:47" ht="15.75" customHeight="1" x14ac:dyDescent="0.25">
      <c r="AR597" s="6"/>
      <c r="AS597" s="7"/>
      <c r="AT597" s="1"/>
      <c r="AU597" s="1"/>
    </row>
    <row r="598" spans="44:47" ht="15.75" customHeight="1" x14ac:dyDescent="0.25">
      <c r="AR598" s="6"/>
      <c r="AS598" s="7"/>
      <c r="AT598" s="1"/>
      <c r="AU598" s="1"/>
    </row>
    <row r="599" spans="44:47" ht="15.75" customHeight="1" x14ac:dyDescent="0.25">
      <c r="AR599" s="6"/>
      <c r="AS599" s="7"/>
      <c r="AT599" s="1"/>
      <c r="AU599" s="1"/>
    </row>
    <row r="600" spans="44:47" ht="15.75" customHeight="1" x14ac:dyDescent="0.25">
      <c r="AR600" s="6"/>
      <c r="AS600" s="7"/>
      <c r="AT600" s="1"/>
      <c r="AU600" s="1"/>
    </row>
    <row r="601" spans="44:47" ht="15.75" customHeight="1" x14ac:dyDescent="0.25">
      <c r="AR601" s="6"/>
      <c r="AS601" s="7"/>
      <c r="AT601" s="1"/>
      <c r="AU601" s="1"/>
    </row>
    <row r="602" spans="44:47" ht="15.75" customHeight="1" x14ac:dyDescent="0.25">
      <c r="AR602" s="6"/>
      <c r="AS602" s="7"/>
      <c r="AT602" s="1"/>
      <c r="AU602" s="1"/>
    </row>
    <row r="603" spans="44:47" ht="15.75" customHeight="1" x14ac:dyDescent="0.25">
      <c r="AR603" s="6"/>
      <c r="AS603" s="7"/>
      <c r="AT603" s="1"/>
      <c r="AU603" s="1"/>
    </row>
    <row r="604" spans="44:47" ht="15.75" customHeight="1" x14ac:dyDescent="0.25">
      <c r="AR604" s="6"/>
      <c r="AS604" s="7"/>
      <c r="AT604" s="1"/>
      <c r="AU604" s="1"/>
    </row>
    <row r="605" spans="44:47" ht="15.75" customHeight="1" x14ac:dyDescent="0.25">
      <c r="AR605" s="6"/>
      <c r="AS605" s="7"/>
      <c r="AT605" s="1"/>
      <c r="AU605" s="1"/>
    </row>
    <row r="606" spans="44:47" ht="15.75" customHeight="1" x14ac:dyDescent="0.25">
      <c r="AR606" s="6"/>
      <c r="AS606" s="7"/>
      <c r="AT606" s="1"/>
      <c r="AU606" s="1"/>
    </row>
    <row r="607" spans="44:47" ht="15.75" customHeight="1" x14ac:dyDescent="0.25">
      <c r="AR607" s="6"/>
      <c r="AS607" s="7"/>
      <c r="AT607" s="1"/>
      <c r="AU607" s="1"/>
    </row>
    <row r="608" spans="44:47" ht="15.75" customHeight="1" x14ac:dyDescent="0.25">
      <c r="AR608" s="6"/>
      <c r="AS608" s="7"/>
      <c r="AT608" s="1"/>
      <c r="AU608" s="1"/>
    </row>
    <row r="609" spans="44:47" ht="15.75" customHeight="1" x14ac:dyDescent="0.25">
      <c r="AR609" s="6"/>
      <c r="AS609" s="7"/>
      <c r="AT609" s="1"/>
      <c r="AU609" s="1"/>
    </row>
    <row r="610" spans="44:47" ht="15.75" customHeight="1" x14ac:dyDescent="0.25">
      <c r="AR610" s="6"/>
      <c r="AS610" s="7"/>
      <c r="AT610" s="1"/>
      <c r="AU610" s="1"/>
    </row>
    <row r="611" spans="44:47" ht="15.75" customHeight="1" x14ac:dyDescent="0.25">
      <c r="AR611" s="6"/>
      <c r="AS611" s="7"/>
      <c r="AT611" s="1"/>
      <c r="AU611" s="1"/>
    </row>
    <row r="612" spans="44:47" ht="15.75" customHeight="1" x14ac:dyDescent="0.25">
      <c r="AR612" s="6"/>
      <c r="AS612" s="7"/>
      <c r="AT612" s="1"/>
      <c r="AU612" s="1"/>
    </row>
    <row r="613" spans="44:47" ht="15.75" customHeight="1" x14ac:dyDescent="0.25">
      <c r="AR613" s="6"/>
      <c r="AS613" s="7"/>
      <c r="AT613" s="1"/>
      <c r="AU613" s="1"/>
    </row>
    <row r="614" spans="44:47" ht="15.75" customHeight="1" x14ac:dyDescent="0.25">
      <c r="AR614" s="6"/>
      <c r="AS614" s="7"/>
      <c r="AT614" s="1"/>
      <c r="AU614" s="1"/>
    </row>
    <row r="615" spans="44:47" ht="15.75" customHeight="1" x14ac:dyDescent="0.25">
      <c r="AR615" s="6"/>
      <c r="AS615" s="7"/>
      <c r="AT615" s="1"/>
      <c r="AU615" s="1"/>
    </row>
    <row r="616" spans="44:47" ht="15.75" customHeight="1" x14ac:dyDescent="0.25">
      <c r="AR616" s="6"/>
      <c r="AS616" s="7"/>
      <c r="AT616" s="1"/>
      <c r="AU616" s="1"/>
    </row>
    <row r="617" spans="44:47" ht="15.75" customHeight="1" x14ac:dyDescent="0.25">
      <c r="AR617" s="6"/>
      <c r="AS617" s="7"/>
      <c r="AT617" s="1"/>
      <c r="AU617" s="1"/>
    </row>
    <row r="618" spans="44:47" ht="15.75" customHeight="1" x14ac:dyDescent="0.25">
      <c r="AR618" s="6"/>
      <c r="AS618" s="7"/>
      <c r="AT618" s="1"/>
      <c r="AU618" s="1"/>
    </row>
    <row r="619" spans="44:47" ht="15.75" customHeight="1" x14ac:dyDescent="0.25">
      <c r="AR619" s="6"/>
      <c r="AS619" s="7"/>
      <c r="AT619" s="1"/>
      <c r="AU619" s="1"/>
    </row>
    <row r="620" spans="44:47" ht="15.75" customHeight="1" x14ac:dyDescent="0.25">
      <c r="AR620" s="6"/>
      <c r="AS620" s="7"/>
      <c r="AT620" s="1"/>
      <c r="AU620" s="1"/>
    </row>
    <row r="621" spans="44:47" ht="15.75" customHeight="1" x14ac:dyDescent="0.25">
      <c r="AR621" s="6"/>
      <c r="AS621" s="7"/>
      <c r="AT621" s="1"/>
      <c r="AU621" s="1"/>
    </row>
    <row r="622" spans="44:47" ht="15.75" customHeight="1" x14ac:dyDescent="0.25">
      <c r="AR622" s="6"/>
      <c r="AS622" s="7"/>
      <c r="AT622" s="1"/>
      <c r="AU622" s="1"/>
    </row>
    <row r="623" spans="44:47" ht="15.75" customHeight="1" x14ac:dyDescent="0.25">
      <c r="AR623" s="6"/>
      <c r="AS623" s="7"/>
      <c r="AT623" s="1"/>
      <c r="AU623" s="1"/>
    </row>
    <row r="624" spans="44:47" ht="15.75" customHeight="1" x14ac:dyDescent="0.25">
      <c r="AR624" s="6"/>
      <c r="AS624" s="7"/>
      <c r="AT624" s="1"/>
      <c r="AU624" s="1"/>
    </row>
    <row r="625" spans="44:47" ht="15.75" customHeight="1" x14ac:dyDescent="0.25">
      <c r="AR625" s="6"/>
      <c r="AS625" s="7"/>
      <c r="AT625" s="1"/>
      <c r="AU625" s="1"/>
    </row>
    <row r="626" spans="44:47" ht="15.75" customHeight="1" x14ac:dyDescent="0.25">
      <c r="AR626" s="6"/>
      <c r="AS626" s="7"/>
      <c r="AT626" s="1"/>
      <c r="AU626" s="1"/>
    </row>
    <row r="627" spans="44:47" ht="15.75" customHeight="1" x14ac:dyDescent="0.25">
      <c r="AR627" s="6"/>
      <c r="AS627" s="7"/>
      <c r="AT627" s="1"/>
      <c r="AU627" s="1"/>
    </row>
    <row r="628" spans="44:47" ht="15.75" customHeight="1" x14ac:dyDescent="0.25">
      <c r="AR628" s="6"/>
      <c r="AS628" s="7"/>
      <c r="AT628" s="1"/>
      <c r="AU628" s="1"/>
    </row>
    <row r="629" spans="44:47" ht="15.75" customHeight="1" x14ac:dyDescent="0.25">
      <c r="AR629" s="6"/>
      <c r="AS629" s="7"/>
      <c r="AT629" s="1"/>
      <c r="AU629" s="1"/>
    </row>
    <row r="630" spans="44:47" ht="15.75" customHeight="1" x14ac:dyDescent="0.25">
      <c r="AR630" s="6"/>
      <c r="AS630" s="7"/>
      <c r="AT630" s="1"/>
      <c r="AU630" s="1"/>
    </row>
    <row r="631" spans="44:47" ht="15.75" customHeight="1" x14ac:dyDescent="0.25">
      <c r="AR631" s="6"/>
      <c r="AS631" s="7"/>
      <c r="AT631" s="1"/>
      <c r="AU631" s="1"/>
    </row>
    <row r="632" spans="44:47" ht="15.75" customHeight="1" x14ac:dyDescent="0.25">
      <c r="AR632" s="6"/>
      <c r="AS632" s="7"/>
      <c r="AT632" s="1"/>
      <c r="AU632" s="1"/>
    </row>
    <row r="633" spans="44:47" ht="15.75" customHeight="1" x14ac:dyDescent="0.25">
      <c r="AR633" s="6"/>
      <c r="AS633" s="7"/>
      <c r="AT633" s="1"/>
      <c r="AU633" s="1"/>
    </row>
    <row r="634" spans="44:47" ht="15.75" customHeight="1" x14ac:dyDescent="0.25">
      <c r="AR634" s="6"/>
      <c r="AS634" s="7"/>
      <c r="AT634" s="1"/>
      <c r="AU634" s="1"/>
    </row>
    <row r="635" spans="44:47" ht="15.75" customHeight="1" x14ac:dyDescent="0.25">
      <c r="AR635" s="6"/>
      <c r="AS635" s="7"/>
      <c r="AT635" s="1"/>
      <c r="AU635" s="1"/>
    </row>
    <row r="636" spans="44:47" ht="15.75" customHeight="1" x14ac:dyDescent="0.25">
      <c r="AR636" s="6"/>
      <c r="AS636" s="7"/>
      <c r="AT636" s="1"/>
      <c r="AU636" s="1"/>
    </row>
    <row r="637" spans="44:47" ht="15.75" customHeight="1" x14ac:dyDescent="0.25">
      <c r="AR637" s="6"/>
      <c r="AS637" s="7"/>
      <c r="AT637" s="1"/>
      <c r="AU637" s="1"/>
    </row>
    <row r="638" spans="44:47" ht="15.75" customHeight="1" x14ac:dyDescent="0.25">
      <c r="AR638" s="6"/>
      <c r="AS638" s="7"/>
      <c r="AT638" s="1"/>
      <c r="AU638" s="1"/>
    </row>
    <row r="639" spans="44:47" ht="15.75" customHeight="1" x14ac:dyDescent="0.25">
      <c r="AR639" s="6"/>
      <c r="AS639" s="7"/>
      <c r="AT639" s="1"/>
      <c r="AU639" s="1"/>
    </row>
    <row r="640" spans="44:47" ht="15.75" customHeight="1" x14ac:dyDescent="0.25">
      <c r="AR640" s="6"/>
      <c r="AS640" s="7"/>
      <c r="AT640" s="1"/>
      <c r="AU640" s="1"/>
    </row>
    <row r="641" spans="44:47" ht="15.75" customHeight="1" x14ac:dyDescent="0.25">
      <c r="AR641" s="6"/>
      <c r="AS641" s="7"/>
      <c r="AT641" s="1"/>
      <c r="AU641" s="1"/>
    </row>
    <row r="642" spans="44:47" ht="15.75" customHeight="1" x14ac:dyDescent="0.25">
      <c r="AR642" s="6"/>
      <c r="AS642" s="7"/>
      <c r="AT642" s="1"/>
      <c r="AU642" s="1"/>
    </row>
    <row r="643" spans="44:47" ht="15.75" customHeight="1" x14ac:dyDescent="0.25">
      <c r="AR643" s="6"/>
      <c r="AS643" s="7"/>
      <c r="AT643" s="1"/>
      <c r="AU643" s="1"/>
    </row>
    <row r="644" spans="44:47" ht="15.75" customHeight="1" x14ac:dyDescent="0.25">
      <c r="AR644" s="6"/>
      <c r="AS644" s="7"/>
      <c r="AT644" s="1"/>
      <c r="AU644" s="1"/>
    </row>
    <row r="645" spans="44:47" ht="15.75" customHeight="1" x14ac:dyDescent="0.25">
      <c r="AR645" s="6"/>
      <c r="AS645" s="7"/>
      <c r="AT645" s="1"/>
      <c r="AU645" s="1"/>
    </row>
    <row r="646" spans="44:47" ht="15.75" customHeight="1" x14ac:dyDescent="0.25">
      <c r="AR646" s="6"/>
      <c r="AS646" s="7"/>
      <c r="AT646" s="1"/>
      <c r="AU646" s="1"/>
    </row>
    <row r="647" spans="44:47" ht="15.75" customHeight="1" x14ac:dyDescent="0.25">
      <c r="AR647" s="6"/>
      <c r="AS647" s="7"/>
      <c r="AT647" s="1"/>
      <c r="AU647" s="1"/>
    </row>
    <row r="648" spans="44:47" ht="15.75" customHeight="1" x14ac:dyDescent="0.25">
      <c r="AR648" s="6"/>
      <c r="AS648" s="7"/>
      <c r="AT648" s="1"/>
      <c r="AU648" s="1"/>
    </row>
    <row r="649" spans="44:47" ht="15.75" customHeight="1" x14ac:dyDescent="0.25">
      <c r="AR649" s="6"/>
      <c r="AS649" s="7"/>
      <c r="AT649" s="1"/>
      <c r="AU649" s="1"/>
    </row>
    <row r="650" spans="44:47" ht="15.75" customHeight="1" x14ac:dyDescent="0.25">
      <c r="AR650" s="6"/>
      <c r="AS650" s="7"/>
      <c r="AT650" s="1"/>
      <c r="AU650" s="1"/>
    </row>
    <row r="651" spans="44:47" ht="15.75" customHeight="1" x14ac:dyDescent="0.25">
      <c r="AR651" s="6"/>
      <c r="AS651" s="7"/>
      <c r="AT651" s="1"/>
      <c r="AU651" s="1"/>
    </row>
    <row r="652" spans="44:47" ht="15.75" customHeight="1" x14ac:dyDescent="0.25">
      <c r="AR652" s="6"/>
      <c r="AS652" s="7"/>
      <c r="AT652" s="1"/>
      <c r="AU652" s="1"/>
    </row>
    <row r="653" spans="44:47" ht="15.75" customHeight="1" x14ac:dyDescent="0.25">
      <c r="AR653" s="6"/>
      <c r="AS653" s="7"/>
      <c r="AT653" s="1"/>
      <c r="AU653" s="1"/>
    </row>
    <row r="654" spans="44:47" ht="15.75" customHeight="1" x14ac:dyDescent="0.25">
      <c r="AR654" s="6"/>
      <c r="AS654" s="7"/>
      <c r="AT654" s="1"/>
      <c r="AU654" s="1"/>
    </row>
    <row r="655" spans="44:47" ht="15.75" customHeight="1" x14ac:dyDescent="0.25">
      <c r="AR655" s="6"/>
      <c r="AS655" s="7"/>
      <c r="AT655" s="1"/>
      <c r="AU655" s="1"/>
    </row>
    <row r="656" spans="44:47" ht="15.75" customHeight="1" x14ac:dyDescent="0.25">
      <c r="AR656" s="6"/>
      <c r="AS656" s="7"/>
      <c r="AT656" s="1"/>
      <c r="AU656" s="1"/>
    </row>
    <row r="657" spans="44:47" ht="15.75" customHeight="1" x14ac:dyDescent="0.25">
      <c r="AR657" s="6"/>
      <c r="AS657" s="7"/>
      <c r="AT657" s="1"/>
      <c r="AU657" s="1"/>
    </row>
    <row r="658" spans="44:47" ht="15.75" customHeight="1" x14ac:dyDescent="0.25">
      <c r="AR658" s="6"/>
      <c r="AS658" s="7"/>
      <c r="AT658" s="1"/>
      <c r="AU658" s="1"/>
    </row>
    <row r="659" spans="44:47" ht="15.75" customHeight="1" x14ac:dyDescent="0.25">
      <c r="AR659" s="6"/>
      <c r="AS659" s="7"/>
      <c r="AT659" s="1"/>
      <c r="AU659" s="1"/>
    </row>
    <row r="660" spans="44:47" ht="15.75" customHeight="1" x14ac:dyDescent="0.25">
      <c r="AR660" s="6"/>
      <c r="AS660" s="7"/>
      <c r="AT660" s="1"/>
      <c r="AU660" s="1"/>
    </row>
    <row r="661" spans="44:47" ht="15.75" customHeight="1" x14ac:dyDescent="0.25">
      <c r="AR661" s="6"/>
      <c r="AS661" s="7"/>
      <c r="AT661" s="1"/>
      <c r="AU661" s="1"/>
    </row>
    <row r="662" spans="44:47" ht="15.75" customHeight="1" x14ac:dyDescent="0.25">
      <c r="AR662" s="6"/>
      <c r="AS662" s="7"/>
      <c r="AT662" s="1"/>
      <c r="AU662" s="1"/>
    </row>
    <row r="663" spans="44:47" ht="15.75" customHeight="1" x14ac:dyDescent="0.25">
      <c r="AR663" s="6"/>
      <c r="AS663" s="7"/>
      <c r="AT663" s="1"/>
      <c r="AU663" s="1"/>
    </row>
    <row r="664" spans="44:47" ht="15.75" customHeight="1" x14ac:dyDescent="0.25">
      <c r="AR664" s="6"/>
      <c r="AS664" s="7"/>
      <c r="AT664" s="1"/>
      <c r="AU664" s="1"/>
    </row>
    <row r="665" spans="44:47" ht="15.75" customHeight="1" x14ac:dyDescent="0.25">
      <c r="AR665" s="6"/>
      <c r="AS665" s="7"/>
      <c r="AT665" s="1"/>
      <c r="AU665" s="1"/>
    </row>
    <row r="666" spans="44:47" ht="15.75" customHeight="1" x14ac:dyDescent="0.25">
      <c r="AR666" s="6"/>
      <c r="AS666" s="7"/>
      <c r="AT666" s="1"/>
      <c r="AU666" s="1"/>
    </row>
    <row r="667" spans="44:47" ht="15.75" customHeight="1" x14ac:dyDescent="0.25">
      <c r="AR667" s="6"/>
      <c r="AS667" s="7"/>
      <c r="AT667" s="1"/>
      <c r="AU667" s="1"/>
    </row>
    <row r="668" spans="44:47" ht="15.75" customHeight="1" x14ac:dyDescent="0.25">
      <c r="AR668" s="6"/>
      <c r="AS668" s="7"/>
      <c r="AT668" s="1"/>
      <c r="AU668" s="1"/>
    </row>
    <row r="669" spans="44:47" ht="15.75" customHeight="1" x14ac:dyDescent="0.25">
      <c r="AR669" s="6"/>
      <c r="AS669" s="7"/>
      <c r="AT669" s="1"/>
      <c r="AU669" s="1"/>
    </row>
    <row r="670" spans="44:47" ht="15.75" customHeight="1" x14ac:dyDescent="0.25">
      <c r="AR670" s="6"/>
      <c r="AS670" s="7"/>
      <c r="AT670" s="1"/>
      <c r="AU670" s="1"/>
    </row>
    <row r="671" spans="44:47" ht="15.75" customHeight="1" x14ac:dyDescent="0.25">
      <c r="AR671" s="6"/>
      <c r="AS671" s="7"/>
      <c r="AT671" s="1"/>
      <c r="AU671" s="1"/>
    </row>
    <row r="672" spans="44:47" ht="15.75" customHeight="1" x14ac:dyDescent="0.25">
      <c r="AR672" s="6"/>
      <c r="AS672" s="7"/>
      <c r="AT672" s="1"/>
      <c r="AU672" s="1"/>
    </row>
    <row r="673" spans="44:47" ht="15.75" customHeight="1" x14ac:dyDescent="0.25">
      <c r="AR673" s="6"/>
      <c r="AS673" s="7"/>
      <c r="AT673" s="1"/>
      <c r="AU673" s="1"/>
    </row>
    <row r="674" spans="44:47" ht="15.75" customHeight="1" x14ac:dyDescent="0.25">
      <c r="AR674" s="6"/>
      <c r="AS674" s="7"/>
      <c r="AT674" s="1"/>
      <c r="AU674" s="1"/>
    </row>
    <row r="675" spans="44:47" ht="15.75" customHeight="1" x14ac:dyDescent="0.25">
      <c r="AR675" s="6"/>
      <c r="AS675" s="7"/>
      <c r="AT675" s="1"/>
      <c r="AU675" s="1"/>
    </row>
    <row r="676" spans="44:47" ht="15.75" customHeight="1" x14ac:dyDescent="0.25">
      <c r="AR676" s="6"/>
      <c r="AS676" s="7"/>
      <c r="AT676" s="1"/>
      <c r="AU676" s="1"/>
    </row>
    <row r="677" spans="44:47" ht="15.75" customHeight="1" x14ac:dyDescent="0.25">
      <c r="AR677" s="6"/>
      <c r="AS677" s="7"/>
      <c r="AT677" s="1"/>
      <c r="AU677" s="1"/>
    </row>
    <row r="678" spans="44:47" ht="15.75" customHeight="1" x14ac:dyDescent="0.25">
      <c r="AR678" s="6"/>
      <c r="AS678" s="7"/>
      <c r="AT678" s="1"/>
      <c r="AU678" s="1"/>
    </row>
    <row r="679" spans="44:47" ht="15.75" customHeight="1" x14ac:dyDescent="0.25">
      <c r="AR679" s="6"/>
      <c r="AS679" s="7"/>
      <c r="AT679" s="1"/>
      <c r="AU679" s="1"/>
    </row>
    <row r="680" spans="44:47" ht="15.75" customHeight="1" x14ac:dyDescent="0.25">
      <c r="AR680" s="6"/>
      <c r="AS680" s="7"/>
      <c r="AT680" s="1"/>
      <c r="AU680" s="1"/>
    </row>
    <row r="681" spans="44:47" ht="15.75" customHeight="1" x14ac:dyDescent="0.25">
      <c r="AR681" s="6"/>
      <c r="AS681" s="7"/>
      <c r="AT681" s="1"/>
      <c r="AU681" s="1"/>
    </row>
    <row r="682" spans="44:47" ht="15.75" customHeight="1" x14ac:dyDescent="0.25">
      <c r="AR682" s="6"/>
      <c r="AS682" s="7"/>
      <c r="AT682" s="1"/>
      <c r="AU682" s="1"/>
    </row>
    <row r="683" spans="44:47" ht="15.75" customHeight="1" x14ac:dyDescent="0.25">
      <c r="AR683" s="6"/>
      <c r="AS683" s="7"/>
      <c r="AT683" s="1"/>
      <c r="AU683" s="1"/>
    </row>
    <row r="684" spans="44:47" ht="15.75" customHeight="1" x14ac:dyDescent="0.25">
      <c r="AR684" s="6"/>
      <c r="AS684" s="7"/>
      <c r="AT684" s="1"/>
      <c r="AU684" s="1"/>
    </row>
    <row r="685" spans="44:47" ht="15.75" customHeight="1" x14ac:dyDescent="0.25">
      <c r="AR685" s="6"/>
      <c r="AS685" s="7"/>
      <c r="AT685" s="1"/>
      <c r="AU685" s="1"/>
    </row>
    <row r="686" spans="44:47" ht="15.75" customHeight="1" x14ac:dyDescent="0.25">
      <c r="AR686" s="6"/>
      <c r="AS686" s="7"/>
      <c r="AT686" s="1"/>
      <c r="AU686" s="1"/>
    </row>
    <row r="687" spans="44:47" ht="15.75" customHeight="1" x14ac:dyDescent="0.25">
      <c r="AR687" s="6"/>
      <c r="AS687" s="7"/>
      <c r="AT687" s="1"/>
      <c r="AU687" s="1"/>
    </row>
    <row r="688" spans="44:47" ht="15.75" customHeight="1" x14ac:dyDescent="0.25">
      <c r="AR688" s="6"/>
      <c r="AS688" s="7"/>
      <c r="AT688" s="1"/>
      <c r="AU688" s="1"/>
    </row>
    <row r="689" spans="44:47" ht="15.75" customHeight="1" x14ac:dyDescent="0.25">
      <c r="AR689" s="6"/>
      <c r="AS689" s="7"/>
      <c r="AT689" s="1"/>
      <c r="AU689" s="1"/>
    </row>
    <row r="690" spans="44:47" ht="15.75" customHeight="1" x14ac:dyDescent="0.25">
      <c r="AR690" s="6"/>
      <c r="AS690" s="7"/>
      <c r="AT690" s="1"/>
      <c r="AU690" s="1"/>
    </row>
    <row r="691" spans="44:47" ht="15.75" customHeight="1" x14ac:dyDescent="0.25">
      <c r="AR691" s="6"/>
      <c r="AS691" s="7"/>
      <c r="AT691" s="1"/>
      <c r="AU691" s="1"/>
    </row>
    <row r="692" spans="44:47" ht="15.75" customHeight="1" x14ac:dyDescent="0.25">
      <c r="AR692" s="6"/>
      <c r="AS692" s="7"/>
      <c r="AT692" s="1"/>
      <c r="AU692" s="1"/>
    </row>
    <row r="693" spans="44:47" ht="15.75" customHeight="1" x14ac:dyDescent="0.25">
      <c r="AR693" s="6"/>
      <c r="AS693" s="7"/>
      <c r="AT693" s="1"/>
      <c r="AU693" s="1"/>
    </row>
    <row r="694" spans="44:47" ht="15.75" customHeight="1" x14ac:dyDescent="0.25">
      <c r="AR694" s="6"/>
      <c r="AS694" s="7"/>
      <c r="AT694" s="1"/>
      <c r="AU694" s="1"/>
    </row>
    <row r="695" spans="44:47" ht="15.75" customHeight="1" x14ac:dyDescent="0.25">
      <c r="AR695" s="6"/>
      <c r="AS695" s="7"/>
      <c r="AT695" s="1"/>
      <c r="AU695" s="1"/>
    </row>
    <row r="696" spans="44:47" ht="15.75" customHeight="1" x14ac:dyDescent="0.25">
      <c r="AR696" s="6"/>
      <c r="AS696" s="7"/>
      <c r="AT696" s="1"/>
      <c r="AU696" s="1"/>
    </row>
    <row r="697" spans="44:47" ht="15.75" customHeight="1" x14ac:dyDescent="0.25">
      <c r="AR697" s="6"/>
      <c r="AS697" s="7"/>
      <c r="AT697" s="1"/>
      <c r="AU697" s="1"/>
    </row>
    <row r="698" spans="44:47" ht="15.75" customHeight="1" x14ac:dyDescent="0.25">
      <c r="AR698" s="6"/>
      <c r="AS698" s="7"/>
      <c r="AT698" s="1"/>
      <c r="AU698" s="1"/>
    </row>
    <row r="699" spans="44:47" ht="15.75" customHeight="1" x14ac:dyDescent="0.25">
      <c r="AR699" s="6"/>
      <c r="AS699" s="7"/>
      <c r="AT699" s="1"/>
      <c r="AU699" s="1"/>
    </row>
    <row r="700" spans="44:47" ht="15.75" customHeight="1" x14ac:dyDescent="0.25">
      <c r="AR700" s="6"/>
      <c r="AS700" s="7"/>
      <c r="AT700" s="1"/>
      <c r="AU700" s="1"/>
    </row>
    <row r="701" spans="44:47" ht="15.75" customHeight="1" x14ac:dyDescent="0.25">
      <c r="AR701" s="6"/>
      <c r="AS701" s="7"/>
      <c r="AT701" s="1"/>
      <c r="AU701" s="1"/>
    </row>
    <row r="702" spans="44:47" ht="15.75" customHeight="1" x14ac:dyDescent="0.25">
      <c r="AR702" s="6"/>
      <c r="AS702" s="7"/>
      <c r="AT702" s="1"/>
      <c r="AU702" s="1"/>
    </row>
    <row r="703" spans="44:47" ht="15.75" customHeight="1" x14ac:dyDescent="0.25">
      <c r="AR703" s="6"/>
      <c r="AS703" s="7"/>
      <c r="AT703" s="1"/>
      <c r="AU703" s="1"/>
    </row>
    <row r="704" spans="44:47" ht="15.75" customHeight="1" x14ac:dyDescent="0.25">
      <c r="AR704" s="6"/>
      <c r="AS704" s="7"/>
      <c r="AT704" s="1"/>
      <c r="AU704" s="1"/>
    </row>
    <row r="705" spans="44:47" ht="15.75" customHeight="1" x14ac:dyDescent="0.25">
      <c r="AR705" s="6"/>
      <c r="AS705" s="7"/>
      <c r="AT705" s="1"/>
      <c r="AU705" s="1"/>
    </row>
    <row r="706" spans="44:47" ht="15.75" customHeight="1" x14ac:dyDescent="0.25">
      <c r="AR706" s="6"/>
      <c r="AS706" s="7"/>
      <c r="AT706" s="1"/>
      <c r="AU706" s="1"/>
    </row>
    <row r="707" spans="44:47" ht="15.75" customHeight="1" x14ac:dyDescent="0.25">
      <c r="AR707" s="6"/>
      <c r="AS707" s="7"/>
      <c r="AT707" s="1"/>
      <c r="AU707" s="1"/>
    </row>
    <row r="708" spans="44:47" ht="15.75" customHeight="1" x14ac:dyDescent="0.25">
      <c r="AR708" s="6"/>
      <c r="AS708" s="7"/>
      <c r="AT708" s="1"/>
      <c r="AU708" s="1"/>
    </row>
    <row r="709" spans="44:47" ht="15.75" customHeight="1" x14ac:dyDescent="0.25">
      <c r="AR709" s="6"/>
      <c r="AS709" s="7"/>
      <c r="AT709" s="1"/>
      <c r="AU709" s="1"/>
    </row>
    <row r="710" spans="44:47" ht="15.75" customHeight="1" x14ac:dyDescent="0.25">
      <c r="AR710" s="6"/>
      <c r="AS710" s="7"/>
      <c r="AT710" s="1"/>
      <c r="AU710" s="1"/>
    </row>
    <row r="711" spans="44:47" ht="15.75" customHeight="1" x14ac:dyDescent="0.25">
      <c r="AR711" s="6"/>
      <c r="AS711" s="7"/>
      <c r="AT711" s="1"/>
      <c r="AU711" s="1"/>
    </row>
    <row r="712" spans="44:47" ht="15.75" customHeight="1" x14ac:dyDescent="0.25">
      <c r="AR712" s="6"/>
      <c r="AS712" s="7"/>
      <c r="AT712" s="1"/>
      <c r="AU712" s="1"/>
    </row>
    <row r="713" spans="44:47" ht="15.75" customHeight="1" x14ac:dyDescent="0.25">
      <c r="AR713" s="6"/>
      <c r="AS713" s="7"/>
      <c r="AT713" s="1"/>
      <c r="AU713" s="1"/>
    </row>
    <row r="714" spans="44:47" ht="15.75" customHeight="1" x14ac:dyDescent="0.25">
      <c r="AR714" s="6"/>
      <c r="AS714" s="7"/>
      <c r="AT714" s="1"/>
      <c r="AU714" s="1"/>
    </row>
    <row r="715" spans="44:47" ht="15.75" customHeight="1" x14ac:dyDescent="0.25">
      <c r="AR715" s="6"/>
      <c r="AS715" s="7"/>
      <c r="AT715" s="1"/>
      <c r="AU715" s="1"/>
    </row>
    <row r="716" spans="44:47" ht="15.75" customHeight="1" x14ac:dyDescent="0.25">
      <c r="AR716" s="6"/>
      <c r="AS716" s="7"/>
      <c r="AT716" s="1"/>
      <c r="AU716" s="1"/>
    </row>
    <row r="717" spans="44:47" ht="15.75" customHeight="1" x14ac:dyDescent="0.25">
      <c r="AR717" s="6"/>
      <c r="AS717" s="7"/>
      <c r="AT717" s="1"/>
      <c r="AU717" s="1"/>
    </row>
    <row r="718" spans="44:47" ht="15.75" customHeight="1" x14ac:dyDescent="0.25">
      <c r="AR718" s="6"/>
      <c r="AS718" s="7"/>
      <c r="AT718" s="1"/>
      <c r="AU718" s="1"/>
    </row>
    <row r="719" spans="44:47" ht="15.75" customHeight="1" x14ac:dyDescent="0.25">
      <c r="AR719" s="6"/>
      <c r="AS719" s="7"/>
      <c r="AT719" s="1"/>
      <c r="AU719" s="1"/>
    </row>
    <row r="720" spans="44:47" ht="15.75" customHeight="1" x14ac:dyDescent="0.25">
      <c r="AR720" s="6"/>
      <c r="AS720" s="7"/>
      <c r="AT720" s="1"/>
      <c r="AU720" s="1"/>
    </row>
    <row r="721" spans="44:47" ht="15.75" customHeight="1" x14ac:dyDescent="0.25">
      <c r="AR721" s="6"/>
      <c r="AS721" s="7"/>
      <c r="AT721" s="1"/>
      <c r="AU721" s="1"/>
    </row>
    <row r="722" spans="44:47" ht="15.75" customHeight="1" x14ac:dyDescent="0.25">
      <c r="AR722" s="6"/>
      <c r="AS722" s="7"/>
      <c r="AT722" s="1"/>
      <c r="AU722" s="1"/>
    </row>
    <row r="723" spans="44:47" ht="15.75" customHeight="1" x14ac:dyDescent="0.25">
      <c r="AR723" s="6"/>
      <c r="AS723" s="7"/>
      <c r="AT723" s="1"/>
      <c r="AU723" s="1"/>
    </row>
    <row r="724" spans="44:47" ht="15.75" customHeight="1" x14ac:dyDescent="0.25">
      <c r="AR724" s="6"/>
      <c r="AS724" s="7"/>
      <c r="AT724" s="1"/>
      <c r="AU724" s="1"/>
    </row>
    <row r="725" spans="44:47" ht="15.75" customHeight="1" x14ac:dyDescent="0.25">
      <c r="AR725" s="6"/>
      <c r="AS725" s="7"/>
      <c r="AT725" s="1"/>
      <c r="AU725" s="1"/>
    </row>
    <row r="726" spans="44:47" ht="15.75" customHeight="1" x14ac:dyDescent="0.25">
      <c r="AR726" s="6"/>
      <c r="AS726" s="7"/>
      <c r="AT726" s="1"/>
      <c r="AU726" s="1"/>
    </row>
    <row r="727" spans="44:47" ht="15.75" customHeight="1" x14ac:dyDescent="0.25">
      <c r="AR727" s="6"/>
      <c r="AS727" s="7"/>
      <c r="AT727" s="1"/>
      <c r="AU727" s="1"/>
    </row>
    <row r="728" spans="44:47" ht="15.75" customHeight="1" x14ac:dyDescent="0.25">
      <c r="AR728" s="6"/>
      <c r="AS728" s="7"/>
      <c r="AT728" s="1"/>
      <c r="AU728" s="1"/>
    </row>
    <row r="729" spans="44:47" ht="15.75" customHeight="1" x14ac:dyDescent="0.25">
      <c r="AR729" s="6"/>
      <c r="AS729" s="7"/>
      <c r="AT729" s="1"/>
      <c r="AU729" s="1"/>
    </row>
    <row r="730" spans="44:47" ht="15.75" customHeight="1" x14ac:dyDescent="0.25">
      <c r="AR730" s="6"/>
      <c r="AS730" s="7"/>
      <c r="AT730" s="1"/>
      <c r="AU730" s="1"/>
    </row>
    <row r="731" spans="44:47" ht="15.75" customHeight="1" x14ac:dyDescent="0.25">
      <c r="AR731" s="6"/>
      <c r="AS731" s="7"/>
      <c r="AT731" s="1"/>
      <c r="AU731" s="1"/>
    </row>
    <row r="732" spans="44:47" ht="15.75" customHeight="1" x14ac:dyDescent="0.25">
      <c r="AR732" s="6"/>
      <c r="AS732" s="7"/>
      <c r="AT732" s="1"/>
      <c r="AU732" s="1"/>
    </row>
    <row r="733" spans="44:47" ht="15.75" customHeight="1" x14ac:dyDescent="0.25">
      <c r="AR733" s="6"/>
      <c r="AS733" s="7"/>
      <c r="AT733" s="1"/>
      <c r="AU733" s="1"/>
    </row>
    <row r="734" spans="44:47" ht="15.75" customHeight="1" x14ac:dyDescent="0.25">
      <c r="AR734" s="6"/>
      <c r="AS734" s="7"/>
      <c r="AT734" s="1"/>
      <c r="AU734" s="1"/>
    </row>
    <row r="735" spans="44:47" ht="15.75" customHeight="1" x14ac:dyDescent="0.25">
      <c r="AR735" s="6"/>
      <c r="AS735" s="7"/>
      <c r="AT735" s="1"/>
      <c r="AU735" s="1"/>
    </row>
    <row r="736" spans="44:47" ht="15.75" customHeight="1" x14ac:dyDescent="0.25">
      <c r="AR736" s="6"/>
      <c r="AS736" s="7"/>
      <c r="AT736" s="1"/>
      <c r="AU736" s="1"/>
    </row>
    <row r="737" spans="44:47" ht="15.75" customHeight="1" x14ac:dyDescent="0.25">
      <c r="AR737" s="6"/>
      <c r="AS737" s="7"/>
      <c r="AT737" s="1"/>
      <c r="AU737" s="1"/>
    </row>
    <row r="738" spans="44:47" ht="15.75" customHeight="1" x14ac:dyDescent="0.25">
      <c r="AR738" s="6"/>
      <c r="AS738" s="7"/>
      <c r="AT738" s="1"/>
      <c r="AU738" s="1"/>
    </row>
    <row r="739" spans="44:47" ht="15.75" customHeight="1" x14ac:dyDescent="0.25">
      <c r="AR739" s="6"/>
      <c r="AS739" s="7"/>
      <c r="AT739" s="1"/>
      <c r="AU739" s="1"/>
    </row>
    <row r="740" spans="44:47" ht="15.75" customHeight="1" x14ac:dyDescent="0.25">
      <c r="AR740" s="6"/>
      <c r="AS740" s="7"/>
      <c r="AT740" s="1"/>
      <c r="AU740" s="1"/>
    </row>
    <row r="741" spans="44:47" ht="15.75" customHeight="1" x14ac:dyDescent="0.25">
      <c r="AR741" s="6"/>
      <c r="AS741" s="7"/>
      <c r="AT741" s="1"/>
      <c r="AU741" s="1"/>
    </row>
    <row r="742" spans="44:47" ht="15.75" customHeight="1" x14ac:dyDescent="0.25">
      <c r="AR742" s="6"/>
      <c r="AS742" s="7"/>
      <c r="AT742" s="1"/>
      <c r="AU742" s="1"/>
    </row>
    <row r="743" spans="44:47" ht="15.75" customHeight="1" x14ac:dyDescent="0.25">
      <c r="AR743" s="6"/>
      <c r="AS743" s="7"/>
      <c r="AT743" s="1"/>
      <c r="AU743" s="1"/>
    </row>
    <row r="744" spans="44:47" ht="15.75" customHeight="1" x14ac:dyDescent="0.25">
      <c r="AR744" s="6"/>
      <c r="AS744" s="7"/>
      <c r="AT744" s="1"/>
      <c r="AU744" s="1"/>
    </row>
    <row r="745" spans="44:47" ht="15.75" customHeight="1" x14ac:dyDescent="0.25">
      <c r="AR745" s="6"/>
      <c r="AS745" s="7"/>
      <c r="AT745" s="1"/>
      <c r="AU745" s="1"/>
    </row>
    <row r="746" spans="44:47" ht="15.75" customHeight="1" x14ac:dyDescent="0.25">
      <c r="AR746" s="6"/>
      <c r="AS746" s="7"/>
      <c r="AT746" s="1"/>
      <c r="AU746" s="1"/>
    </row>
    <row r="747" spans="44:47" ht="15.75" customHeight="1" x14ac:dyDescent="0.25">
      <c r="AR747" s="6"/>
      <c r="AS747" s="7"/>
      <c r="AT747" s="1"/>
      <c r="AU747" s="1"/>
    </row>
    <row r="748" spans="44:47" ht="15.75" customHeight="1" x14ac:dyDescent="0.25">
      <c r="AR748" s="6"/>
      <c r="AS748" s="7"/>
      <c r="AT748" s="1"/>
      <c r="AU748" s="1"/>
    </row>
    <row r="749" spans="44:47" ht="15.75" customHeight="1" x14ac:dyDescent="0.25">
      <c r="AR749" s="6"/>
      <c r="AS749" s="7"/>
      <c r="AT749" s="1"/>
      <c r="AU749" s="1"/>
    </row>
    <row r="750" spans="44:47" ht="15.75" customHeight="1" x14ac:dyDescent="0.25">
      <c r="AR750" s="6"/>
      <c r="AS750" s="7"/>
      <c r="AT750" s="1"/>
      <c r="AU750" s="1"/>
    </row>
    <row r="751" spans="44:47" ht="15.75" customHeight="1" x14ac:dyDescent="0.25">
      <c r="AR751" s="6"/>
      <c r="AS751" s="7"/>
      <c r="AT751" s="1"/>
      <c r="AU751" s="1"/>
    </row>
    <row r="752" spans="44:47" ht="15.75" customHeight="1" x14ac:dyDescent="0.25">
      <c r="AR752" s="6"/>
      <c r="AS752" s="7"/>
      <c r="AT752" s="1"/>
      <c r="AU752" s="1"/>
    </row>
    <row r="753" spans="44:47" ht="15.75" customHeight="1" x14ac:dyDescent="0.25">
      <c r="AR753" s="6"/>
      <c r="AS753" s="7"/>
      <c r="AT753" s="1"/>
      <c r="AU753" s="1"/>
    </row>
    <row r="754" spans="44:47" ht="15.75" customHeight="1" x14ac:dyDescent="0.25">
      <c r="AR754" s="6"/>
      <c r="AS754" s="7"/>
      <c r="AT754" s="1"/>
      <c r="AU754" s="1"/>
    </row>
    <row r="755" spans="44:47" ht="15.75" customHeight="1" x14ac:dyDescent="0.25">
      <c r="AR755" s="6"/>
      <c r="AS755" s="7"/>
      <c r="AT755" s="1"/>
      <c r="AU755" s="1"/>
    </row>
    <row r="756" spans="44:47" ht="15.75" customHeight="1" x14ac:dyDescent="0.25">
      <c r="AR756" s="6"/>
      <c r="AS756" s="7"/>
      <c r="AT756" s="1"/>
      <c r="AU756" s="1"/>
    </row>
    <row r="757" spans="44:47" ht="15.75" customHeight="1" x14ac:dyDescent="0.25">
      <c r="AR757" s="6"/>
      <c r="AS757" s="7"/>
      <c r="AT757" s="1"/>
      <c r="AU757" s="1"/>
    </row>
    <row r="758" spans="44:47" ht="15.75" customHeight="1" x14ac:dyDescent="0.25">
      <c r="AR758" s="6"/>
      <c r="AS758" s="7"/>
      <c r="AT758" s="1"/>
      <c r="AU758" s="1"/>
    </row>
    <row r="759" spans="44:47" ht="15.75" customHeight="1" x14ac:dyDescent="0.25">
      <c r="AR759" s="6"/>
      <c r="AS759" s="7"/>
      <c r="AT759" s="1"/>
      <c r="AU759" s="1"/>
    </row>
    <row r="760" spans="44:47" ht="15.75" customHeight="1" x14ac:dyDescent="0.25">
      <c r="AR760" s="6"/>
      <c r="AS760" s="7"/>
      <c r="AT760" s="1"/>
      <c r="AU760" s="1"/>
    </row>
    <row r="761" spans="44:47" ht="15.75" customHeight="1" x14ac:dyDescent="0.25">
      <c r="AR761" s="6"/>
      <c r="AS761" s="7"/>
      <c r="AT761" s="1"/>
      <c r="AU761" s="1"/>
    </row>
    <row r="762" spans="44:47" ht="15.75" customHeight="1" x14ac:dyDescent="0.25">
      <c r="AR762" s="6"/>
      <c r="AS762" s="7"/>
      <c r="AT762" s="1"/>
      <c r="AU762" s="1"/>
    </row>
    <row r="763" spans="44:47" ht="15.75" customHeight="1" x14ac:dyDescent="0.25">
      <c r="AR763" s="6"/>
      <c r="AS763" s="7"/>
      <c r="AT763" s="1"/>
      <c r="AU763" s="1"/>
    </row>
    <row r="764" spans="44:47" ht="15.75" customHeight="1" x14ac:dyDescent="0.25">
      <c r="AR764" s="6"/>
      <c r="AS764" s="7"/>
      <c r="AT764" s="1"/>
      <c r="AU764" s="1"/>
    </row>
    <row r="765" spans="44:47" ht="15.75" customHeight="1" x14ac:dyDescent="0.25">
      <c r="AR765" s="6"/>
      <c r="AS765" s="7"/>
      <c r="AT765" s="1"/>
      <c r="AU765" s="1"/>
    </row>
    <row r="766" spans="44:47" ht="15.75" customHeight="1" x14ac:dyDescent="0.25">
      <c r="AR766" s="6"/>
      <c r="AS766" s="7"/>
      <c r="AT766" s="1"/>
      <c r="AU766" s="1"/>
    </row>
    <row r="767" spans="44:47" ht="15.75" customHeight="1" x14ac:dyDescent="0.25">
      <c r="AR767" s="6"/>
      <c r="AS767" s="7"/>
      <c r="AT767" s="1"/>
      <c r="AU767" s="1"/>
    </row>
    <row r="768" spans="44:47" ht="15.75" customHeight="1" x14ac:dyDescent="0.25">
      <c r="AR768" s="6"/>
      <c r="AS768" s="7"/>
      <c r="AT768" s="1"/>
      <c r="AU768" s="1"/>
    </row>
    <row r="769" spans="44:47" ht="15.75" customHeight="1" x14ac:dyDescent="0.25">
      <c r="AR769" s="6"/>
      <c r="AS769" s="7"/>
      <c r="AT769" s="1"/>
      <c r="AU769" s="1"/>
    </row>
    <row r="770" spans="44:47" ht="15.75" customHeight="1" x14ac:dyDescent="0.25">
      <c r="AR770" s="6"/>
      <c r="AS770" s="7"/>
      <c r="AT770" s="1"/>
      <c r="AU770" s="1"/>
    </row>
    <row r="771" spans="44:47" ht="15.75" customHeight="1" x14ac:dyDescent="0.25">
      <c r="AR771" s="6"/>
      <c r="AS771" s="7"/>
      <c r="AT771" s="1"/>
      <c r="AU771" s="1"/>
    </row>
    <row r="772" spans="44:47" ht="15.75" customHeight="1" x14ac:dyDescent="0.25">
      <c r="AR772" s="6"/>
      <c r="AS772" s="7"/>
      <c r="AT772" s="1"/>
      <c r="AU772" s="1"/>
    </row>
    <row r="773" spans="44:47" ht="15.75" customHeight="1" x14ac:dyDescent="0.25">
      <c r="AR773" s="6"/>
      <c r="AS773" s="7"/>
      <c r="AT773" s="1"/>
      <c r="AU773" s="1"/>
    </row>
    <row r="774" spans="44:47" ht="15.75" customHeight="1" x14ac:dyDescent="0.25">
      <c r="AR774" s="6"/>
      <c r="AS774" s="7"/>
      <c r="AT774" s="1"/>
      <c r="AU774" s="1"/>
    </row>
    <row r="775" spans="44:47" ht="15.75" customHeight="1" x14ac:dyDescent="0.25">
      <c r="AR775" s="6"/>
      <c r="AS775" s="7"/>
      <c r="AT775" s="1"/>
      <c r="AU775" s="1"/>
    </row>
    <row r="776" spans="44:47" ht="15.75" customHeight="1" x14ac:dyDescent="0.25">
      <c r="AR776" s="6"/>
      <c r="AS776" s="7"/>
      <c r="AT776" s="1"/>
      <c r="AU776" s="1"/>
    </row>
    <row r="777" spans="44:47" ht="15.75" customHeight="1" x14ac:dyDescent="0.25">
      <c r="AR777" s="6"/>
      <c r="AS777" s="7"/>
      <c r="AT777" s="1"/>
      <c r="AU777" s="1"/>
    </row>
    <row r="778" spans="44:47" ht="15.75" customHeight="1" x14ac:dyDescent="0.25">
      <c r="AR778" s="6"/>
      <c r="AS778" s="7"/>
      <c r="AT778" s="1"/>
      <c r="AU778" s="1"/>
    </row>
    <row r="779" spans="44:47" ht="15.75" customHeight="1" x14ac:dyDescent="0.25">
      <c r="AR779" s="6"/>
      <c r="AS779" s="7"/>
      <c r="AT779" s="1"/>
      <c r="AU779" s="1"/>
    </row>
    <row r="780" spans="44:47" ht="15.75" customHeight="1" x14ac:dyDescent="0.25">
      <c r="AR780" s="6"/>
      <c r="AS780" s="7"/>
      <c r="AT780" s="1"/>
      <c r="AU780" s="1"/>
    </row>
    <row r="781" spans="44:47" ht="15.75" customHeight="1" x14ac:dyDescent="0.25">
      <c r="AR781" s="6"/>
      <c r="AS781" s="7"/>
      <c r="AT781" s="1"/>
      <c r="AU781" s="1"/>
    </row>
    <row r="782" spans="44:47" ht="15.75" customHeight="1" x14ac:dyDescent="0.25">
      <c r="AR782" s="6"/>
      <c r="AS782" s="7"/>
      <c r="AT782" s="1"/>
      <c r="AU782" s="1"/>
    </row>
    <row r="783" spans="44:47" ht="15.75" customHeight="1" x14ac:dyDescent="0.25">
      <c r="AR783" s="6"/>
      <c r="AS783" s="7"/>
      <c r="AT783" s="1"/>
      <c r="AU783" s="1"/>
    </row>
    <row r="784" spans="44:47" ht="15.75" customHeight="1" x14ac:dyDescent="0.25">
      <c r="AR784" s="6"/>
      <c r="AS784" s="7"/>
      <c r="AT784" s="1"/>
      <c r="AU784" s="1"/>
    </row>
    <row r="785" spans="44:47" ht="15.75" customHeight="1" x14ac:dyDescent="0.25">
      <c r="AR785" s="6"/>
      <c r="AS785" s="7"/>
      <c r="AT785" s="1"/>
      <c r="AU785" s="1"/>
    </row>
    <row r="786" spans="44:47" ht="15.75" customHeight="1" x14ac:dyDescent="0.25">
      <c r="AR786" s="6"/>
      <c r="AS786" s="7"/>
      <c r="AT786" s="1"/>
      <c r="AU786" s="1"/>
    </row>
    <row r="787" spans="44:47" ht="15.75" customHeight="1" x14ac:dyDescent="0.25">
      <c r="AR787" s="6"/>
      <c r="AS787" s="7"/>
      <c r="AT787" s="1"/>
      <c r="AU787" s="1"/>
    </row>
    <row r="788" spans="44:47" ht="15.75" customHeight="1" x14ac:dyDescent="0.25">
      <c r="AR788" s="6"/>
      <c r="AS788" s="7"/>
      <c r="AT788" s="1"/>
      <c r="AU788" s="1"/>
    </row>
    <row r="789" spans="44:47" ht="15.75" customHeight="1" x14ac:dyDescent="0.25">
      <c r="AR789" s="6"/>
      <c r="AS789" s="7"/>
      <c r="AT789" s="1"/>
      <c r="AU789" s="1"/>
    </row>
    <row r="790" spans="44:47" ht="15.75" customHeight="1" x14ac:dyDescent="0.25">
      <c r="AR790" s="6"/>
      <c r="AS790" s="7"/>
      <c r="AT790" s="1"/>
      <c r="AU790" s="1"/>
    </row>
    <row r="791" spans="44:47" ht="15.75" customHeight="1" x14ac:dyDescent="0.25">
      <c r="AR791" s="6"/>
      <c r="AS791" s="7"/>
      <c r="AT791" s="1"/>
      <c r="AU791" s="1"/>
    </row>
    <row r="792" spans="44:47" ht="15.75" customHeight="1" x14ac:dyDescent="0.25">
      <c r="AR792" s="6"/>
      <c r="AS792" s="7"/>
      <c r="AT792" s="1"/>
      <c r="AU792" s="1"/>
    </row>
    <row r="793" spans="44:47" ht="15.75" customHeight="1" x14ac:dyDescent="0.25">
      <c r="AR793" s="6"/>
      <c r="AS793" s="7"/>
      <c r="AT793" s="1"/>
      <c r="AU793" s="1"/>
    </row>
    <row r="794" spans="44:47" ht="15.75" customHeight="1" x14ac:dyDescent="0.25">
      <c r="AR794" s="6"/>
      <c r="AS794" s="7"/>
      <c r="AT794" s="1"/>
      <c r="AU794" s="1"/>
    </row>
    <row r="795" spans="44:47" ht="15.75" customHeight="1" x14ac:dyDescent="0.25">
      <c r="AR795" s="6"/>
      <c r="AS795" s="7"/>
      <c r="AT795" s="1"/>
      <c r="AU795" s="1"/>
    </row>
    <row r="796" spans="44:47" ht="15.75" customHeight="1" x14ac:dyDescent="0.25">
      <c r="AR796" s="6"/>
      <c r="AS796" s="7"/>
      <c r="AT796" s="1"/>
      <c r="AU796" s="1"/>
    </row>
    <row r="797" spans="44:47" ht="15.75" customHeight="1" x14ac:dyDescent="0.25">
      <c r="AR797" s="6"/>
      <c r="AS797" s="7"/>
      <c r="AT797" s="1"/>
      <c r="AU797" s="1"/>
    </row>
    <row r="798" spans="44:47" ht="15.75" customHeight="1" x14ac:dyDescent="0.25">
      <c r="AR798" s="6"/>
      <c r="AS798" s="7"/>
      <c r="AT798" s="1"/>
      <c r="AU798" s="1"/>
    </row>
    <row r="799" spans="44:47" ht="15.75" customHeight="1" x14ac:dyDescent="0.25">
      <c r="AR799" s="6"/>
      <c r="AS799" s="7"/>
      <c r="AT799" s="1"/>
      <c r="AU799" s="1"/>
    </row>
    <row r="800" spans="44:47" ht="15.75" customHeight="1" x14ac:dyDescent="0.25">
      <c r="AR800" s="6"/>
      <c r="AS800" s="7"/>
      <c r="AT800" s="1"/>
      <c r="AU800" s="1"/>
    </row>
    <row r="801" spans="44:47" ht="15.75" customHeight="1" x14ac:dyDescent="0.25">
      <c r="AR801" s="6"/>
      <c r="AS801" s="7"/>
      <c r="AT801" s="1"/>
      <c r="AU801" s="1"/>
    </row>
    <row r="802" spans="44:47" ht="15.75" customHeight="1" x14ac:dyDescent="0.25">
      <c r="AR802" s="6"/>
      <c r="AS802" s="7"/>
      <c r="AT802" s="1"/>
      <c r="AU802" s="1"/>
    </row>
    <row r="803" spans="44:47" ht="15.75" customHeight="1" x14ac:dyDescent="0.25">
      <c r="AR803" s="6"/>
      <c r="AS803" s="7"/>
      <c r="AT803" s="1"/>
      <c r="AU803" s="1"/>
    </row>
    <row r="804" spans="44:47" ht="15.75" customHeight="1" x14ac:dyDescent="0.25">
      <c r="AR804" s="6"/>
      <c r="AS804" s="7"/>
      <c r="AT804" s="1"/>
      <c r="AU804" s="1"/>
    </row>
    <row r="805" spans="44:47" ht="15.75" customHeight="1" x14ac:dyDescent="0.25">
      <c r="AR805" s="6"/>
      <c r="AS805" s="7"/>
      <c r="AT805" s="1"/>
      <c r="AU805" s="1"/>
    </row>
    <row r="806" spans="44:47" ht="15.75" customHeight="1" x14ac:dyDescent="0.25">
      <c r="AR806" s="6"/>
      <c r="AS806" s="7"/>
      <c r="AT806" s="1"/>
      <c r="AU806" s="1"/>
    </row>
    <row r="807" spans="44:47" ht="15.75" customHeight="1" x14ac:dyDescent="0.25">
      <c r="AR807" s="6"/>
      <c r="AS807" s="7"/>
      <c r="AT807" s="1"/>
      <c r="AU807" s="1"/>
    </row>
    <row r="808" spans="44:47" ht="15.75" customHeight="1" x14ac:dyDescent="0.25">
      <c r="AR808" s="6"/>
      <c r="AS808" s="7"/>
      <c r="AT808" s="1"/>
      <c r="AU808" s="1"/>
    </row>
    <row r="809" spans="44:47" ht="15.75" customHeight="1" x14ac:dyDescent="0.25">
      <c r="AR809" s="6"/>
      <c r="AS809" s="7"/>
      <c r="AT809" s="1"/>
      <c r="AU809" s="1"/>
    </row>
    <row r="810" spans="44:47" ht="15.75" customHeight="1" x14ac:dyDescent="0.25">
      <c r="AR810" s="6"/>
      <c r="AS810" s="7"/>
      <c r="AT810" s="1"/>
      <c r="AU810" s="1"/>
    </row>
    <row r="811" spans="44:47" ht="15.75" customHeight="1" x14ac:dyDescent="0.25">
      <c r="AR811" s="6"/>
      <c r="AS811" s="7"/>
      <c r="AT811" s="1"/>
      <c r="AU811" s="1"/>
    </row>
    <row r="812" spans="44:47" ht="15.75" customHeight="1" x14ac:dyDescent="0.25">
      <c r="AR812" s="6"/>
      <c r="AS812" s="7"/>
      <c r="AT812" s="1"/>
      <c r="AU812" s="1"/>
    </row>
    <row r="813" spans="44:47" ht="15.75" customHeight="1" x14ac:dyDescent="0.25">
      <c r="AR813" s="6"/>
      <c r="AS813" s="7"/>
      <c r="AT813" s="1"/>
      <c r="AU813" s="1"/>
    </row>
    <row r="814" spans="44:47" ht="15.75" customHeight="1" x14ac:dyDescent="0.25">
      <c r="AR814" s="6"/>
      <c r="AS814" s="7"/>
      <c r="AT814" s="1"/>
      <c r="AU814" s="1"/>
    </row>
    <row r="815" spans="44:47" ht="15.75" customHeight="1" x14ac:dyDescent="0.25">
      <c r="AR815" s="6"/>
      <c r="AS815" s="7"/>
      <c r="AT815" s="1"/>
      <c r="AU815" s="1"/>
    </row>
    <row r="816" spans="44:47" ht="15.75" customHeight="1" x14ac:dyDescent="0.25">
      <c r="AR816" s="6"/>
      <c r="AS816" s="7"/>
      <c r="AT816" s="1"/>
      <c r="AU816" s="1"/>
    </row>
    <row r="817" spans="44:47" ht="15.75" customHeight="1" x14ac:dyDescent="0.25">
      <c r="AR817" s="6"/>
      <c r="AS817" s="7"/>
      <c r="AT817" s="1"/>
      <c r="AU817" s="1"/>
    </row>
    <row r="818" spans="44:47" ht="15.75" customHeight="1" x14ac:dyDescent="0.25">
      <c r="AR818" s="6"/>
      <c r="AS818" s="7"/>
      <c r="AT818" s="1"/>
      <c r="AU818" s="1"/>
    </row>
    <row r="819" spans="44:47" ht="15.75" customHeight="1" x14ac:dyDescent="0.25">
      <c r="AR819" s="6"/>
      <c r="AS819" s="7"/>
      <c r="AT819" s="1"/>
      <c r="AU819" s="1"/>
    </row>
    <row r="820" spans="44:47" ht="15.75" customHeight="1" x14ac:dyDescent="0.25">
      <c r="AR820" s="6"/>
      <c r="AS820" s="7"/>
      <c r="AT820" s="1"/>
      <c r="AU820" s="1"/>
    </row>
    <row r="821" spans="44:47" ht="15.75" customHeight="1" x14ac:dyDescent="0.25">
      <c r="AR821" s="6"/>
      <c r="AS821" s="7"/>
      <c r="AT821" s="1"/>
      <c r="AU821" s="1"/>
    </row>
    <row r="822" spans="44:47" ht="15.75" customHeight="1" x14ac:dyDescent="0.25">
      <c r="AR822" s="6"/>
      <c r="AS822" s="7"/>
      <c r="AT822" s="1"/>
      <c r="AU822" s="1"/>
    </row>
    <row r="823" spans="44:47" ht="15.75" customHeight="1" x14ac:dyDescent="0.25">
      <c r="AR823" s="6"/>
      <c r="AS823" s="7"/>
      <c r="AT823" s="1"/>
      <c r="AU823" s="1"/>
    </row>
    <row r="824" spans="44:47" ht="15.75" customHeight="1" x14ac:dyDescent="0.25">
      <c r="AR824" s="6"/>
      <c r="AS824" s="7"/>
      <c r="AT824" s="1"/>
      <c r="AU824" s="1"/>
    </row>
    <row r="825" spans="44:47" ht="15.75" customHeight="1" x14ac:dyDescent="0.25">
      <c r="AR825" s="6"/>
      <c r="AS825" s="7"/>
      <c r="AT825" s="1"/>
      <c r="AU825" s="1"/>
    </row>
    <row r="826" spans="44:47" ht="15.75" customHeight="1" x14ac:dyDescent="0.25">
      <c r="AR826" s="6"/>
      <c r="AS826" s="7"/>
      <c r="AT826" s="1"/>
      <c r="AU826" s="1"/>
    </row>
    <row r="827" spans="44:47" ht="15.75" customHeight="1" x14ac:dyDescent="0.25">
      <c r="AR827" s="6"/>
      <c r="AS827" s="7"/>
      <c r="AT827" s="1"/>
      <c r="AU827" s="1"/>
    </row>
    <row r="828" spans="44:47" ht="15.75" customHeight="1" x14ac:dyDescent="0.25">
      <c r="AR828" s="6"/>
      <c r="AS828" s="7"/>
      <c r="AT828" s="1"/>
      <c r="AU828" s="1"/>
    </row>
    <row r="829" spans="44:47" ht="15.75" customHeight="1" x14ac:dyDescent="0.25">
      <c r="AR829" s="6"/>
      <c r="AS829" s="7"/>
      <c r="AT829" s="1"/>
      <c r="AU829" s="1"/>
    </row>
    <row r="830" spans="44:47" ht="15.75" customHeight="1" x14ac:dyDescent="0.25">
      <c r="AR830" s="6"/>
      <c r="AS830" s="7"/>
      <c r="AT830" s="1"/>
      <c r="AU830" s="1"/>
    </row>
    <row r="831" spans="44:47" ht="15.75" customHeight="1" x14ac:dyDescent="0.25">
      <c r="AR831" s="6"/>
      <c r="AS831" s="7"/>
      <c r="AT831" s="1"/>
      <c r="AU831" s="1"/>
    </row>
    <row r="832" spans="44:47" ht="15.75" customHeight="1" x14ac:dyDescent="0.25">
      <c r="AR832" s="6"/>
      <c r="AS832" s="7"/>
      <c r="AT832" s="1"/>
      <c r="AU832" s="1"/>
    </row>
    <row r="833" spans="44:47" ht="15.75" customHeight="1" x14ac:dyDescent="0.25">
      <c r="AR833" s="6"/>
      <c r="AS833" s="7"/>
      <c r="AT833" s="1"/>
      <c r="AU833" s="1"/>
    </row>
    <row r="834" spans="44:47" ht="15.75" customHeight="1" x14ac:dyDescent="0.25">
      <c r="AR834" s="6"/>
      <c r="AS834" s="7"/>
      <c r="AT834" s="1"/>
      <c r="AU834" s="1"/>
    </row>
    <row r="835" spans="44:47" ht="15.75" customHeight="1" x14ac:dyDescent="0.25">
      <c r="AR835" s="6"/>
      <c r="AS835" s="7"/>
      <c r="AT835" s="1"/>
      <c r="AU835" s="1"/>
    </row>
    <row r="836" spans="44:47" ht="15.75" customHeight="1" x14ac:dyDescent="0.25">
      <c r="AR836" s="6"/>
      <c r="AS836" s="7"/>
      <c r="AT836" s="1"/>
      <c r="AU836" s="1"/>
    </row>
    <row r="837" spans="44:47" ht="15.75" customHeight="1" x14ac:dyDescent="0.25">
      <c r="AR837" s="6"/>
      <c r="AS837" s="7"/>
      <c r="AT837" s="1"/>
      <c r="AU837" s="1"/>
    </row>
    <row r="838" spans="44:47" ht="15.75" customHeight="1" x14ac:dyDescent="0.25">
      <c r="AR838" s="6"/>
      <c r="AS838" s="7"/>
      <c r="AT838" s="1"/>
      <c r="AU838" s="1"/>
    </row>
    <row r="839" spans="44:47" ht="15.75" customHeight="1" x14ac:dyDescent="0.25">
      <c r="AR839" s="6"/>
      <c r="AS839" s="7"/>
      <c r="AT839" s="1"/>
      <c r="AU839" s="1"/>
    </row>
    <row r="840" spans="44:47" ht="15.75" customHeight="1" x14ac:dyDescent="0.25">
      <c r="AR840" s="6"/>
      <c r="AS840" s="7"/>
      <c r="AT840" s="1"/>
      <c r="AU840" s="1"/>
    </row>
    <row r="841" spans="44:47" ht="15.75" customHeight="1" x14ac:dyDescent="0.25">
      <c r="AR841" s="6"/>
      <c r="AS841" s="7"/>
      <c r="AT841" s="1"/>
      <c r="AU841" s="1"/>
    </row>
    <row r="842" spans="44:47" ht="15.75" customHeight="1" x14ac:dyDescent="0.25">
      <c r="AR842" s="6"/>
      <c r="AS842" s="7"/>
      <c r="AT842" s="1"/>
      <c r="AU842" s="1"/>
    </row>
    <row r="843" spans="44:47" ht="15.75" customHeight="1" x14ac:dyDescent="0.25">
      <c r="AR843" s="6"/>
      <c r="AS843" s="7"/>
      <c r="AT843" s="1"/>
      <c r="AU843" s="1"/>
    </row>
    <row r="844" spans="44:47" ht="15.75" customHeight="1" x14ac:dyDescent="0.25">
      <c r="AR844" s="6"/>
      <c r="AS844" s="7"/>
      <c r="AT844" s="1"/>
      <c r="AU844" s="1"/>
    </row>
    <row r="845" spans="44:47" ht="15.75" customHeight="1" x14ac:dyDescent="0.25">
      <c r="AR845" s="6"/>
      <c r="AS845" s="7"/>
      <c r="AT845" s="1"/>
      <c r="AU845" s="1"/>
    </row>
    <row r="846" spans="44:47" ht="15.75" customHeight="1" x14ac:dyDescent="0.25">
      <c r="AR846" s="6"/>
      <c r="AS846" s="7"/>
      <c r="AT846" s="1"/>
      <c r="AU846" s="1"/>
    </row>
    <row r="847" spans="44:47" ht="15.75" customHeight="1" x14ac:dyDescent="0.25">
      <c r="AR847" s="6"/>
      <c r="AS847" s="7"/>
      <c r="AT847" s="1"/>
      <c r="AU847" s="1"/>
    </row>
    <row r="848" spans="44:47" ht="15.75" customHeight="1" x14ac:dyDescent="0.25">
      <c r="AR848" s="6"/>
      <c r="AS848" s="7"/>
      <c r="AT848" s="1"/>
      <c r="AU848" s="1"/>
    </row>
    <row r="849" spans="44:47" ht="15.75" customHeight="1" x14ac:dyDescent="0.25">
      <c r="AR849" s="6"/>
      <c r="AS849" s="7"/>
      <c r="AT849" s="1"/>
      <c r="AU849" s="1"/>
    </row>
    <row r="850" spans="44:47" ht="15.75" customHeight="1" x14ac:dyDescent="0.25">
      <c r="AR850" s="6"/>
      <c r="AS850" s="7"/>
      <c r="AT850" s="1"/>
      <c r="AU850" s="1"/>
    </row>
    <row r="851" spans="44:47" ht="15.75" customHeight="1" x14ac:dyDescent="0.25">
      <c r="AR851" s="6"/>
      <c r="AS851" s="7"/>
      <c r="AT851" s="1"/>
      <c r="AU851" s="1"/>
    </row>
    <row r="852" spans="44:47" ht="15.75" customHeight="1" x14ac:dyDescent="0.25">
      <c r="AR852" s="6"/>
      <c r="AS852" s="7"/>
      <c r="AT852" s="1"/>
      <c r="AU852" s="1"/>
    </row>
    <row r="853" spans="44:47" ht="15.75" customHeight="1" x14ac:dyDescent="0.25">
      <c r="AR853" s="6"/>
      <c r="AS853" s="7"/>
      <c r="AT853" s="1"/>
      <c r="AU853" s="1"/>
    </row>
    <row r="854" spans="44:47" ht="15.75" customHeight="1" x14ac:dyDescent="0.25">
      <c r="AR854" s="6"/>
      <c r="AS854" s="7"/>
      <c r="AT854" s="1"/>
      <c r="AU854" s="1"/>
    </row>
    <row r="855" spans="44:47" ht="15.75" customHeight="1" x14ac:dyDescent="0.25">
      <c r="AR855" s="6"/>
      <c r="AS855" s="7"/>
      <c r="AT855" s="1"/>
      <c r="AU855" s="1"/>
    </row>
    <row r="856" spans="44:47" ht="15.75" customHeight="1" x14ac:dyDescent="0.25">
      <c r="AR856" s="6"/>
      <c r="AS856" s="7"/>
      <c r="AT856" s="1"/>
      <c r="AU856" s="1"/>
    </row>
    <row r="857" spans="44:47" ht="15.75" customHeight="1" x14ac:dyDescent="0.25">
      <c r="AR857" s="6"/>
      <c r="AS857" s="7"/>
      <c r="AT857" s="1"/>
      <c r="AU857" s="1"/>
    </row>
    <row r="858" spans="44:47" ht="15.75" customHeight="1" x14ac:dyDescent="0.25">
      <c r="AR858" s="6"/>
      <c r="AS858" s="7"/>
      <c r="AT858" s="1"/>
      <c r="AU858" s="1"/>
    </row>
    <row r="859" spans="44:47" ht="15.75" customHeight="1" x14ac:dyDescent="0.25">
      <c r="AR859" s="6"/>
      <c r="AS859" s="7"/>
      <c r="AT859" s="1"/>
      <c r="AU859" s="1"/>
    </row>
    <row r="860" spans="44:47" ht="15.75" customHeight="1" x14ac:dyDescent="0.25">
      <c r="AR860" s="6"/>
      <c r="AS860" s="7"/>
      <c r="AT860" s="1"/>
      <c r="AU860" s="1"/>
    </row>
    <row r="861" spans="44:47" ht="15.75" customHeight="1" x14ac:dyDescent="0.25">
      <c r="AR861" s="6"/>
      <c r="AS861" s="7"/>
      <c r="AT861" s="1"/>
      <c r="AU861" s="1"/>
    </row>
    <row r="862" spans="44:47" ht="15.75" customHeight="1" x14ac:dyDescent="0.25">
      <c r="AR862" s="6"/>
      <c r="AS862" s="7"/>
      <c r="AT862" s="1"/>
      <c r="AU862" s="1"/>
    </row>
    <row r="863" spans="44:47" ht="15.75" customHeight="1" x14ac:dyDescent="0.25">
      <c r="AR863" s="6"/>
      <c r="AS863" s="7"/>
      <c r="AT863" s="1"/>
      <c r="AU863" s="1"/>
    </row>
    <row r="864" spans="44:47" ht="15.75" customHeight="1" x14ac:dyDescent="0.25">
      <c r="AR864" s="6"/>
      <c r="AS864" s="7"/>
      <c r="AT864" s="1"/>
      <c r="AU864" s="1"/>
    </row>
    <row r="865" spans="44:47" ht="15.75" customHeight="1" x14ac:dyDescent="0.25">
      <c r="AR865" s="6"/>
      <c r="AS865" s="7"/>
      <c r="AT865" s="1"/>
      <c r="AU865" s="1"/>
    </row>
    <row r="866" spans="44:47" ht="15.75" customHeight="1" x14ac:dyDescent="0.25">
      <c r="AR866" s="6"/>
      <c r="AS866" s="7"/>
      <c r="AT866" s="1"/>
      <c r="AU866" s="1"/>
    </row>
    <row r="867" spans="44:47" ht="15.75" customHeight="1" x14ac:dyDescent="0.25">
      <c r="AR867" s="6"/>
      <c r="AS867" s="7"/>
      <c r="AT867" s="1"/>
      <c r="AU867" s="1"/>
    </row>
    <row r="868" spans="44:47" ht="15.75" customHeight="1" x14ac:dyDescent="0.25">
      <c r="AR868" s="6"/>
      <c r="AS868" s="7"/>
      <c r="AT868" s="1"/>
      <c r="AU868" s="1"/>
    </row>
    <row r="869" spans="44:47" ht="15.75" customHeight="1" x14ac:dyDescent="0.25">
      <c r="AR869" s="6"/>
      <c r="AS869" s="7"/>
      <c r="AT869" s="1"/>
      <c r="AU869" s="1"/>
    </row>
    <row r="870" spans="44:47" ht="15.75" customHeight="1" x14ac:dyDescent="0.25">
      <c r="AR870" s="6"/>
      <c r="AS870" s="7"/>
      <c r="AT870" s="1"/>
      <c r="AU870" s="1"/>
    </row>
    <row r="871" spans="44:47" ht="15.75" customHeight="1" x14ac:dyDescent="0.25">
      <c r="AR871" s="6"/>
      <c r="AS871" s="7"/>
      <c r="AT871" s="1"/>
      <c r="AU871" s="1"/>
    </row>
    <row r="872" spans="44:47" ht="15.75" customHeight="1" x14ac:dyDescent="0.25">
      <c r="AR872" s="6"/>
      <c r="AS872" s="7"/>
      <c r="AT872" s="1"/>
      <c r="AU872" s="1"/>
    </row>
    <row r="873" spans="44:47" ht="15.75" customHeight="1" x14ac:dyDescent="0.25">
      <c r="AR873" s="6"/>
      <c r="AS873" s="7"/>
      <c r="AT873" s="1"/>
      <c r="AU873" s="1"/>
    </row>
    <row r="874" spans="44:47" ht="15.75" customHeight="1" x14ac:dyDescent="0.25">
      <c r="AR874" s="6"/>
      <c r="AS874" s="7"/>
      <c r="AT874" s="1"/>
      <c r="AU874" s="1"/>
    </row>
    <row r="875" spans="44:47" ht="15.75" customHeight="1" x14ac:dyDescent="0.25">
      <c r="AR875" s="6"/>
      <c r="AS875" s="7"/>
      <c r="AT875" s="1"/>
      <c r="AU875" s="1"/>
    </row>
    <row r="876" spans="44:47" ht="15.75" customHeight="1" x14ac:dyDescent="0.25">
      <c r="AR876" s="6"/>
      <c r="AS876" s="7"/>
      <c r="AT876" s="1"/>
      <c r="AU876" s="1"/>
    </row>
    <row r="877" spans="44:47" ht="15.75" customHeight="1" x14ac:dyDescent="0.25">
      <c r="AR877" s="6"/>
      <c r="AS877" s="7"/>
      <c r="AT877" s="1"/>
      <c r="AU877" s="1"/>
    </row>
    <row r="878" spans="44:47" ht="15.75" customHeight="1" x14ac:dyDescent="0.25">
      <c r="AR878" s="6"/>
      <c r="AS878" s="7"/>
      <c r="AT878" s="1"/>
      <c r="AU878" s="1"/>
    </row>
    <row r="879" spans="44:47" ht="15.75" customHeight="1" x14ac:dyDescent="0.25">
      <c r="AR879" s="6"/>
      <c r="AS879" s="7"/>
      <c r="AT879" s="1"/>
      <c r="AU879" s="1"/>
    </row>
    <row r="880" spans="44:47" ht="15.75" customHeight="1" x14ac:dyDescent="0.25">
      <c r="AR880" s="6"/>
      <c r="AS880" s="7"/>
      <c r="AT880" s="1"/>
      <c r="AU880" s="1"/>
    </row>
    <row r="881" spans="44:47" ht="15.75" customHeight="1" x14ac:dyDescent="0.25">
      <c r="AR881" s="6"/>
      <c r="AS881" s="7"/>
      <c r="AT881" s="1"/>
      <c r="AU881" s="1"/>
    </row>
    <row r="882" spans="44:47" ht="15.75" customHeight="1" x14ac:dyDescent="0.25">
      <c r="AR882" s="6"/>
      <c r="AS882" s="7"/>
      <c r="AT882" s="1"/>
      <c r="AU882" s="1"/>
    </row>
    <row r="883" spans="44:47" ht="15.75" customHeight="1" x14ac:dyDescent="0.25">
      <c r="AR883" s="6"/>
      <c r="AS883" s="7"/>
      <c r="AT883" s="1"/>
      <c r="AU883" s="1"/>
    </row>
    <row r="884" spans="44:47" ht="15.75" customHeight="1" x14ac:dyDescent="0.25">
      <c r="AR884" s="6"/>
      <c r="AS884" s="7"/>
      <c r="AT884" s="1"/>
      <c r="AU884" s="1"/>
    </row>
    <row r="885" spans="44:47" ht="15.75" customHeight="1" x14ac:dyDescent="0.25">
      <c r="AR885" s="6"/>
      <c r="AS885" s="7"/>
      <c r="AT885" s="1"/>
      <c r="AU885" s="1"/>
    </row>
    <row r="886" spans="44:47" ht="15.75" customHeight="1" x14ac:dyDescent="0.25">
      <c r="AR886" s="6"/>
      <c r="AS886" s="7"/>
      <c r="AT886" s="1"/>
      <c r="AU886" s="1"/>
    </row>
    <row r="887" spans="44:47" ht="15.75" customHeight="1" x14ac:dyDescent="0.25">
      <c r="AR887" s="6"/>
      <c r="AS887" s="7"/>
      <c r="AT887" s="1"/>
      <c r="AU887" s="1"/>
    </row>
    <row r="888" spans="44:47" ht="15.75" customHeight="1" x14ac:dyDescent="0.25">
      <c r="AR888" s="6"/>
      <c r="AS888" s="7"/>
      <c r="AT888" s="1"/>
      <c r="AU888" s="1"/>
    </row>
    <row r="889" spans="44:47" ht="15.75" customHeight="1" x14ac:dyDescent="0.25">
      <c r="AR889" s="6"/>
      <c r="AS889" s="7"/>
      <c r="AT889" s="1"/>
      <c r="AU889" s="1"/>
    </row>
    <row r="890" spans="44:47" ht="15.75" customHeight="1" x14ac:dyDescent="0.25">
      <c r="AR890" s="6"/>
      <c r="AS890" s="7"/>
      <c r="AT890" s="1"/>
      <c r="AU890" s="1"/>
    </row>
    <row r="891" spans="44:47" ht="15.75" customHeight="1" x14ac:dyDescent="0.25">
      <c r="AR891" s="6"/>
      <c r="AS891" s="7"/>
      <c r="AT891" s="1"/>
      <c r="AU891" s="1"/>
    </row>
    <row r="892" spans="44:47" ht="15.75" customHeight="1" x14ac:dyDescent="0.25">
      <c r="AR892" s="6"/>
      <c r="AS892" s="7"/>
      <c r="AT892" s="1"/>
      <c r="AU892" s="1"/>
    </row>
    <row r="893" spans="44:47" ht="15.75" customHeight="1" x14ac:dyDescent="0.25">
      <c r="AR893" s="6"/>
      <c r="AS893" s="7"/>
      <c r="AT893" s="1"/>
      <c r="AU893" s="1"/>
    </row>
    <row r="894" spans="44:47" ht="15.75" customHeight="1" x14ac:dyDescent="0.25">
      <c r="AR894" s="6"/>
      <c r="AS894" s="7"/>
      <c r="AT894" s="1"/>
      <c r="AU894" s="1"/>
    </row>
    <row r="895" spans="44:47" ht="15.75" customHeight="1" x14ac:dyDescent="0.25">
      <c r="AR895" s="6"/>
      <c r="AS895" s="7"/>
      <c r="AT895" s="1"/>
      <c r="AU895" s="1"/>
    </row>
    <row r="896" spans="44:47" ht="15.75" customHeight="1" x14ac:dyDescent="0.25">
      <c r="AR896" s="6"/>
      <c r="AS896" s="7"/>
      <c r="AT896" s="1"/>
      <c r="AU896" s="1"/>
    </row>
    <row r="897" spans="44:47" ht="15.75" customHeight="1" x14ac:dyDescent="0.25">
      <c r="AR897" s="6"/>
      <c r="AS897" s="7"/>
      <c r="AT897" s="1"/>
      <c r="AU897" s="1"/>
    </row>
    <row r="898" spans="44:47" ht="15.75" customHeight="1" x14ac:dyDescent="0.25">
      <c r="AR898" s="6"/>
      <c r="AS898" s="7"/>
      <c r="AT898" s="1"/>
      <c r="AU898" s="1"/>
    </row>
    <row r="899" spans="44:47" ht="15.75" customHeight="1" x14ac:dyDescent="0.25">
      <c r="AR899" s="6"/>
      <c r="AS899" s="7"/>
      <c r="AT899" s="1"/>
      <c r="AU899" s="1"/>
    </row>
    <row r="900" spans="44:47" ht="15.75" customHeight="1" x14ac:dyDescent="0.25">
      <c r="AR900" s="6"/>
      <c r="AS900" s="7"/>
      <c r="AT900" s="1"/>
      <c r="AU900" s="1"/>
    </row>
    <row r="901" spans="44:47" ht="15.75" customHeight="1" x14ac:dyDescent="0.25">
      <c r="AR901" s="6"/>
      <c r="AS901" s="7"/>
      <c r="AT901" s="1"/>
      <c r="AU901" s="1"/>
    </row>
    <row r="902" spans="44:47" ht="15.75" customHeight="1" x14ac:dyDescent="0.25">
      <c r="AR902" s="6"/>
      <c r="AS902" s="7"/>
      <c r="AT902" s="1"/>
      <c r="AU902" s="1"/>
    </row>
    <row r="903" spans="44:47" ht="15.75" customHeight="1" x14ac:dyDescent="0.25">
      <c r="AR903" s="6"/>
      <c r="AS903" s="7"/>
      <c r="AT903" s="1"/>
      <c r="AU903" s="1"/>
    </row>
    <row r="904" spans="44:47" ht="15.75" customHeight="1" x14ac:dyDescent="0.25">
      <c r="AR904" s="6"/>
      <c r="AS904" s="7"/>
      <c r="AT904" s="1"/>
      <c r="AU904" s="1"/>
    </row>
    <row r="905" spans="44:47" ht="15.75" customHeight="1" x14ac:dyDescent="0.25">
      <c r="AR905" s="6"/>
      <c r="AS905" s="7"/>
      <c r="AT905" s="1"/>
      <c r="AU905" s="1"/>
    </row>
    <row r="906" spans="44:47" ht="15.75" customHeight="1" x14ac:dyDescent="0.25">
      <c r="AR906" s="6"/>
      <c r="AS906" s="7"/>
      <c r="AT906" s="1"/>
      <c r="AU906" s="1"/>
    </row>
    <row r="907" spans="44:47" ht="15.75" customHeight="1" x14ac:dyDescent="0.25">
      <c r="AR907" s="6"/>
      <c r="AS907" s="7"/>
      <c r="AT907" s="1"/>
      <c r="AU907" s="1"/>
    </row>
    <row r="908" spans="44:47" ht="15.75" customHeight="1" x14ac:dyDescent="0.25">
      <c r="AR908" s="6"/>
      <c r="AS908" s="7"/>
      <c r="AT908" s="1"/>
      <c r="AU908" s="1"/>
    </row>
    <row r="909" spans="44:47" ht="15.75" customHeight="1" x14ac:dyDescent="0.25">
      <c r="AR909" s="6"/>
      <c r="AS909" s="7"/>
      <c r="AT909" s="1"/>
      <c r="AU909" s="1"/>
    </row>
    <row r="910" spans="44:47" ht="15.75" customHeight="1" x14ac:dyDescent="0.25">
      <c r="AR910" s="6"/>
      <c r="AS910" s="7"/>
      <c r="AT910" s="1"/>
      <c r="AU910" s="1"/>
    </row>
    <row r="911" spans="44:47" ht="15.75" customHeight="1" x14ac:dyDescent="0.25">
      <c r="AR911" s="6"/>
      <c r="AS911" s="7"/>
      <c r="AT911" s="1"/>
      <c r="AU911" s="1"/>
    </row>
    <row r="912" spans="44:47" ht="15.75" customHeight="1" x14ac:dyDescent="0.25">
      <c r="AR912" s="6"/>
      <c r="AS912" s="7"/>
      <c r="AT912" s="1"/>
      <c r="AU912" s="1"/>
    </row>
    <row r="913" spans="44:47" ht="15.75" customHeight="1" x14ac:dyDescent="0.25">
      <c r="AR913" s="6"/>
      <c r="AS913" s="7"/>
      <c r="AT913" s="1"/>
      <c r="AU913" s="1"/>
    </row>
    <row r="914" spans="44:47" ht="15.75" customHeight="1" x14ac:dyDescent="0.25">
      <c r="AR914" s="6"/>
      <c r="AS914" s="7"/>
      <c r="AT914" s="1"/>
      <c r="AU914" s="1"/>
    </row>
    <row r="915" spans="44:47" ht="15.75" customHeight="1" x14ac:dyDescent="0.25">
      <c r="AR915" s="6"/>
      <c r="AS915" s="7"/>
      <c r="AT915" s="1"/>
      <c r="AU915" s="1"/>
    </row>
    <row r="916" spans="44:47" ht="15.75" customHeight="1" x14ac:dyDescent="0.25">
      <c r="AR916" s="6"/>
      <c r="AS916" s="7"/>
      <c r="AT916" s="1"/>
      <c r="AU916" s="1"/>
    </row>
    <row r="917" spans="44:47" ht="15.75" customHeight="1" x14ac:dyDescent="0.25">
      <c r="AR917" s="6"/>
      <c r="AS917" s="7"/>
      <c r="AT917" s="1"/>
      <c r="AU917" s="1"/>
    </row>
    <row r="918" spans="44:47" ht="15.75" customHeight="1" x14ac:dyDescent="0.25">
      <c r="AR918" s="6"/>
      <c r="AS918" s="7"/>
      <c r="AT918" s="1"/>
      <c r="AU918" s="1"/>
    </row>
    <row r="919" spans="44:47" ht="15.75" customHeight="1" x14ac:dyDescent="0.25">
      <c r="AR919" s="6"/>
      <c r="AS919" s="7"/>
      <c r="AT919" s="1"/>
      <c r="AU919" s="1"/>
    </row>
    <row r="920" spans="44:47" ht="15.75" customHeight="1" x14ac:dyDescent="0.25">
      <c r="AR920" s="6"/>
      <c r="AS920" s="7"/>
      <c r="AT920" s="1"/>
      <c r="AU920" s="1"/>
    </row>
    <row r="921" spans="44:47" ht="15.75" customHeight="1" x14ac:dyDescent="0.25">
      <c r="AR921" s="6"/>
      <c r="AS921" s="7"/>
      <c r="AT921" s="1"/>
      <c r="AU921" s="1"/>
    </row>
    <row r="922" spans="44:47" ht="15.75" customHeight="1" x14ac:dyDescent="0.25">
      <c r="AR922" s="6"/>
      <c r="AS922" s="7"/>
      <c r="AT922" s="1"/>
      <c r="AU922" s="1"/>
    </row>
    <row r="923" spans="44:47" ht="15.75" customHeight="1" x14ac:dyDescent="0.25">
      <c r="AR923" s="6"/>
      <c r="AS923" s="7"/>
      <c r="AT923" s="1"/>
      <c r="AU923" s="1"/>
    </row>
    <row r="924" spans="44:47" ht="15.75" customHeight="1" x14ac:dyDescent="0.25">
      <c r="AR924" s="6"/>
      <c r="AS924" s="7"/>
      <c r="AT924" s="1"/>
      <c r="AU924" s="1"/>
    </row>
    <row r="925" spans="44:47" ht="15.75" customHeight="1" x14ac:dyDescent="0.25">
      <c r="AR925" s="6"/>
      <c r="AS925" s="7"/>
      <c r="AT925" s="1"/>
      <c r="AU925" s="1"/>
    </row>
    <row r="926" spans="44:47" ht="15.75" customHeight="1" x14ac:dyDescent="0.25">
      <c r="AR926" s="6"/>
      <c r="AS926" s="7"/>
      <c r="AT926" s="1"/>
      <c r="AU926" s="1"/>
    </row>
    <row r="927" spans="44:47" ht="15.75" customHeight="1" x14ac:dyDescent="0.25">
      <c r="AR927" s="6"/>
      <c r="AS927" s="7"/>
      <c r="AT927" s="1"/>
      <c r="AU927" s="1"/>
    </row>
    <row r="928" spans="44:47" ht="15.75" customHeight="1" x14ac:dyDescent="0.25">
      <c r="AR928" s="6"/>
      <c r="AS928" s="7"/>
      <c r="AT928" s="1"/>
      <c r="AU928" s="1"/>
    </row>
    <row r="929" spans="44:47" ht="15.75" customHeight="1" x14ac:dyDescent="0.25">
      <c r="AR929" s="6"/>
      <c r="AS929" s="7"/>
      <c r="AT929" s="1"/>
      <c r="AU929" s="1"/>
    </row>
    <row r="930" spans="44:47" ht="15.75" customHeight="1" x14ac:dyDescent="0.25">
      <c r="AR930" s="6"/>
      <c r="AS930" s="7"/>
      <c r="AT930" s="1"/>
      <c r="AU930" s="1"/>
    </row>
    <row r="931" spans="44:47" ht="15.75" customHeight="1" x14ac:dyDescent="0.25">
      <c r="AR931" s="6"/>
      <c r="AS931" s="7"/>
      <c r="AT931" s="1"/>
      <c r="AU931" s="1"/>
    </row>
    <row r="932" spans="44:47" ht="15.75" customHeight="1" x14ac:dyDescent="0.25">
      <c r="AR932" s="6"/>
      <c r="AS932" s="7"/>
      <c r="AT932" s="1"/>
      <c r="AU932" s="1"/>
    </row>
    <row r="933" spans="44:47" ht="15.75" customHeight="1" x14ac:dyDescent="0.25">
      <c r="AR933" s="6"/>
      <c r="AS933" s="7"/>
      <c r="AT933" s="1"/>
      <c r="AU933" s="1"/>
    </row>
    <row r="934" spans="44:47" ht="15.75" customHeight="1" x14ac:dyDescent="0.25">
      <c r="AR934" s="6"/>
      <c r="AS934" s="7"/>
      <c r="AT934" s="1"/>
      <c r="AU934" s="1"/>
    </row>
    <row r="935" spans="44:47" ht="15.75" customHeight="1" x14ac:dyDescent="0.25">
      <c r="AR935" s="6"/>
      <c r="AS935" s="7"/>
      <c r="AT935" s="1"/>
      <c r="AU935" s="1"/>
    </row>
    <row r="936" spans="44:47" ht="15.75" customHeight="1" x14ac:dyDescent="0.25">
      <c r="AR936" s="6"/>
      <c r="AS936" s="7"/>
      <c r="AT936" s="1"/>
      <c r="AU936" s="1"/>
    </row>
    <row r="937" spans="44:47" ht="15.75" customHeight="1" x14ac:dyDescent="0.25">
      <c r="AR937" s="6"/>
      <c r="AS937" s="7"/>
      <c r="AT937" s="1"/>
      <c r="AU937" s="1"/>
    </row>
    <row r="938" spans="44:47" ht="15.75" customHeight="1" x14ac:dyDescent="0.25">
      <c r="AR938" s="6"/>
      <c r="AS938" s="7"/>
      <c r="AT938" s="1"/>
      <c r="AU938" s="1"/>
    </row>
    <row r="939" spans="44:47" ht="15.75" customHeight="1" x14ac:dyDescent="0.25">
      <c r="AR939" s="6"/>
      <c r="AS939" s="7"/>
      <c r="AT939" s="1"/>
      <c r="AU939" s="1"/>
    </row>
    <row r="940" spans="44:47" ht="15.75" customHeight="1" x14ac:dyDescent="0.25">
      <c r="AR940" s="6"/>
      <c r="AS940" s="7"/>
      <c r="AT940" s="1"/>
      <c r="AU940" s="1"/>
    </row>
    <row r="941" spans="44:47" ht="15.75" customHeight="1" x14ac:dyDescent="0.25">
      <c r="AR941" s="6"/>
      <c r="AS941" s="7"/>
      <c r="AT941" s="1"/>
      <c r="AU941" s="1"/>
    </row>
    <row r="942" spans="44:47" ht="15.75" customHeight="1" x14ac:dyDescent="0.25">
      <c r="AR942" s="6"/>
      <c r="AS942" s="7"/>
      <c r="AT942" s="1"/>
      <c r="AU942" s="1"/>
    </row>
    <row r="943" spans="44:47" ht="15.75" customHeight="1" x14ac:dyDescent="0.25">
      <c r="AR943" s="6"/>
      <c r="AS943" s="7"/>
      <c r="AT943" s="1"/>
      <c r="AU943" s="1"/>
    </row>
    <row r="944" spans="44:47" ht="15.75" customHeight="1" x14ac:dyDescent="0.25">
      <c r="AR944" s="6"/>
      <c r="AS944" s="7"/>
      <c r="AT944" s="1"/>
      <c r="AU944" s="1"/>
    </row>
    <row r="945" spans="44:47" ht="15.75" customHeight="1" x14ac:dyDescent="0.25">
      <c r="AR945" s="6"/>
      <c r="AS945" s="7"/>
      <c r="AT945" s="1"/>
      <c r="AU945" s="1"/>
    </row>
    <row r="946" spans="44:47" ht="15.75" customHeight="1" x14ac:dyDescent="0.25">
      <c r="AR946" s="6"/>
      <c r="AS946" s="7"/>
      <c r="AT946" s="1"/>
      <c r="AU946" s="1"/>
    </row>
    <row r="947" spans="44:47" ht="15.75" customHeight="1" x14ac:dyDescent="0.25">
      <c r="AR947" s="6"/>
      <c r="AS947" s="7"/>
      <c r="AT947" s="1"/>
      <c r="AU947" s="1"/>
    </row>
    <row r="948" spans="44:47" ht="15.75" customHeight="1" x14ac:dyDescent="0.25">
      <c r="AR948" s="6"/>
      <c r="AS948" s="7"/>
      <c r="AT948" s="1"/>
      <c r="AU948" s="1"/>
    </row>
    <row r="949" spans="44:47" ht="15.75" customHeight="1" x14ac:dyDescent="0.25">
      <c r="AR949" s="6"/>
      <c r="AS949" s="7"/>
      <c r="AT949" s="1"/>
      <c r="AU949" s="1"/>
    </row>
    <row r="950" spans="44:47" ht="15.75" customHeight="1" x14ac:dyDescent="0.25">
      <c r="AR950" s="6"/>
      <c r="AS950" s="7"/>
      <c r="AT950" s="1"/>
      <c r="AU950" s="1"/>
    </row>
    <row r="951" spans="44:47" ht="15.75" customHeight="1" x14ac:dyDescent="0.25">
      <c r="AR951" s="6"/>
      <c r="AS951" s="7"/>
      <c r="AT951" s="1"/>
      <c r="AU951" s="1"/>
    </row>
    <row r="952" spans="44:47" ht="15.75" customHeight="1" x14ac:dyDescent="0.25">
      <c r="AR952" s="6"/>
      <c r="AS952" s="7"/>
      <c r="AT952" s="1"/>
      <c r="AU952" s="1"/>
    </row>
    <row r="953" spans="44:47" ht="15.75" customHeight="1" x14ac:dyDescent="0.25">
      <c r="AR953" s="6"/>
      <c r="AS953" s="7"/>
      <c r="AT953" s="1"/>
      <c r="AU953" s="1"/>
    </row>
    <row r="954" spans="44:47" ht="15.75" customHeight="1" x14ac:dyDescent="0.25">
      <c r="AR954" s="6"/>
      <c r="AS954" s="7"/>
      <c r="AT954" s="1"/>
      <c r="AU954" s="1"/>
    </row>
    <row r="955" spans="44:47" ht="15.75" customHeight="1" x14ac:dyDescent="0.25">
      <c r="AR955" s="6"/>
      <c r="AS955" s="7"/>
      <c r="AT955" s="1"/>
      <c r="AU955" s="1"/>
    </row>
    <row r="956" spans="44:47" ht="15.75" customHeight="1" x14ac:dyDescent="0.25">
      <c r="AR956" s="6"/>
      <c r="AS956" s="7"/>
      <c r="AT956" s="1"/>
      <c r="AU956" s="1"/>
    </row>
    <row r="957" spans="44:47" ht="15.75" customHeight="1" x14ac:dyDescent="0.25">
      <c r="AR957" s="6"/>
      <c r="AS957" s="7"/>
      <c r="AT957" s="1"/>
      <c r="AU957" s="1"/>
    </row>
    <row r="958" spans="44:47" ht="15.75" customHeight="1" x14ac:dyDescent="0.25">
      <c r="AR958" s="6"/>
      <c r="AS958" s="7"/>
      <c r="AT958" s="1"/>
      <c r="AU958" s="1"/>
    </row>
    <row r="959" spans="44:47" ht="15.75" customHeight="1" x14ac:dyDescent="0.25">
      <c r="AR959" s="6"/>
      <c r="AS959" s="7"/>
      <c r="AT959" s="1"/>
      <c r="AU959" s="1"/>
    </row>
    <row r="960" spans="44:47" ht="15.75" customHeight="1" x14ac:dyDescent="0.25">
      <c r="AR960" s="6"/>
      <c r="AS960" s="7"/>
      <c r="AT960" s="1"/>
      <c r="AU960" s="1"/>
    </row>
    <row r="961" spans="44:47" ht="15.75" customHeight="1" x14ac:dyDescent="0.25">
      <c r="AR961" s="6"/>
      <c r="AS961" s="7"/>
      <c r="AT961" s="1"/>
      <c r="AU961" s="1"/>
    </row>
    <row r="962" spans="44:47" ht="15.75" customHeight="1" x14ac:dyDescent="0.25">
      <c r="AR962" s="6"/>
      <c r="AS962" s="7"/>
      <c r="AT962" s="1"/>
      <c r="AU962" s="1"/>
    </row>
    <row r="963" spans="44:47" ht="15.75" customHeight="1" x14ac:dyDescent="0.25">
      <c r="AR963" s="6"/>
      <c r="AS963" s="7"/>
      <c r="AT963" s="1"/>
      <c r="AU963" s="1"/>
    </row>
    <row r="964" spans="44:47" ht="15.75" customHeight="1" x14ac:dyDescent="0.25">
      <c r="AR964" s="6"/>
      <c r="AS964" s="7"/>
      <c r="AT964" s="1"/>
      <c r="AU964" s="1"/>
    </row>
    <row r="965" spans="44:47" ht="15.75" customHeight="1" x14ac:dyDescent="0.25">
      <c r="AR965" s="6"/>
      <c r="AS965" s="7"/>
      <c r="AT965" s="1"/>
      <c r="AU965" s="1"/>
    </row>
    <row r="966" spans="44:47" ht="15.75" customHeight="1" x14ac:dyDescent="0.25">
      <c r="AR966" s="6"/>
      <c r="AS966" s="7"/>
      <c r="AT966" s="1"/>
      <c r="AU966" s="1"/>
    </row>
    <row r="967" spans="44:47" ht="15.75" customHeight="1" x14ac:dyDescent="0.25">
      <c r="AR967" s="6"/>
      <c r="AS967" s="7"/>
      <c r="AT967" s="1"/>
      <c r="AU967" s="1"/>
    </row>
    <row r="968" spans="44:47" ht="15.75" customHeight="1" x14ac:dyDescent="0.25">
      <c r="AR968" s="6"/>
      <c r="AS968" s="7"/>
      <c r="AT968" s="1"/>
      <c r="AU968" s="1"/>
    </row>
    <row r="969" spans="44:47" ht="15.75" customHeight="1" x14ac:dyDescent="0.25">
      <c r="AR969" s="6"/>
      <c r="AS969" s="7"/>
      <c r="AT969" s="1"/>
      <c r="AU969" s="1"/>
    </row>
    <row r="970" spans="44:47" ht="15.75" customHeight="1" x14ac:dyDescent="0.25">
      <c r="AR970" s="6"/>
      <c r="AS970" s="7"/>
      <c r="AT970" s="1"/>
      <c r="AU970" s="1"/>
    </row>
    <row r="971" spans="44:47" ht="15.75" customHeight="1" x14ac:dyDescent="0.25">
      <c r="AR971" s="6"/>
      <c r="AS971" s="7"/>
      <c r="AT971" s="1"/>
      <c r="AU971" s="1"/>
    </row>
    <row r="972" spans="44:47" ht="15.75" customHeight="1" x14ac:dyDescent="0.25">
      <c r="AR972" s="6"/>
      <c r="AS972" s="7"/>
      <c r="AT972" s="1"/>
      <c r="AU972" s="1"/>
    </row>
    <row r="973" spans="44:47" ht="15.75" customHeight="1" x14ac:dyDescent="0.25">
      <c r="AR973" s="6"/>
      <c r="AS973" s="7"/>
      <c r="AT973" s="1"/>
      <c r="AU973" s="1"/>
    </row>
    <row r="974" spans="44:47" ht="15.75" customHeight="1" x14ac:dyDescent="0.25">
      <c r="AR974" s="6"/>
      <c r="AS974" s="7"/>
      <c r="AT974" s="1"/>
      <c r="AU974" s="1"/>
    </row>
    <row r="975" spans="44:47" ht="15.75" customHeight="1" x14ac:dyDescent="0.25">
      <c r="AR975" s="6"/>
      <c r="AS975" s="7"/>
      <c r="AT975" s="1"/>
      <c r="AU975" s="1"/>
    </row>
    <row r="976" spans="44:47" ht="15.75" customHeight="1" x14ac:dyDescent="0.25">
      <c r="AR976" s="6"/>
      <c r="AS976" s="7"/>
      <c r="AT976" s="1"/>
      <c r="AU976" s="1"/>
    </row>
    <row r="977" spans="44:47" ht="15.75" customHeight="1" x14ac:dyDescent="0.25">
      <c r="AR977" s="6"/>
      <c r="AS977" s="7"/>
      <c r="AT977" s="1"/>
      <c r="AU977" s="1"/>
    </row>
    <row r="978" spans="44:47" ht="15.75" customHeight="1" x14ac:dyDescent="0.25">
      <c r="AR978" s="6"/>
      <c r="AS978" s="7"/>
      <c r="AT978" s="1"/>
      <c r="AU978" s="1"/>
    </row>
    <row r="979" spans="44:47" ht="15.75" customHeight="1" x14ac:dyDescent="0.25">
      <c r="AR979" s="6"/>
      <c r="AS979" s="7"/>
      <c r="AT979" s="1"/>
      <c r="AU979" s="1"/>
    </row>
    <row r="980" spans="44:47" ht="15.75" customHeight="1" x14ac:dyDescent="0.25">
      <c r="AR980" s="6"/>
      <c r="AS980" s="7"/>
      <c r="AT980" s="1"/>
      <c r="AU980" s="1"/>
    </row>
    <row r="981" spans="44:47" ht="15.75" customHeight="1" x14ac:dyDescent="0.25">
      <c r="AR981" s="6"/>
      <c r="AS981" s="7"/>
      <c r="AT981" s="1"/>
      <c r="AU981" s="1"/>
    </row>
    <row r="982" spans="44:47" ht="15.75" customHeight="1" x14ac:dyDescent="0.25">
      <c r="AR982" s="6"/>
      <c r="AS982" s="7"/>
      <c r="AT982" s="1"/>
      <c r="AU982" s="1"/>
    </row>
    <row r="983" spans="44:47" ht="15.75" customHeight="1" x14ac:dyDescent="0.25">
      <c r="AR983" s="6"/>
      <c r="AS983" s="7"/>
      <c r="AT983" s="1"/>
      <c r="AU983" s="1"/>
    </row>
    <row r="984" spans="44:47" ht="15.75" customHeight="1" x14ac:dyDescent="0.25">
      <c r="AR984" s="6"/>
      <c r="AS984" s="7"/>
      <c r="AT984" s="1"/>
      <c r="AU984" s="1"/>
    </row>
    <row r="985" spans="44:47" ht="15.75" customHeight="1" x14ac:dyDescent="0.25">
      <c r="AR985" s="6"/>
      <c r="AS985" s="7"/>
      <c r="AT985" s="1"/>
      <c r="AU985" s="1"/>
    </row>
    <row r="986" spans="44:47" ht="15.75" customHeight="1" x14ac:dyDescent="0.25">
      <c r="AR986" s="6"/>
      <c r="AS986" s="7"/>
      <c r="AT986" s="1"/>
      <c r="AU986" s="1"/>
    </row>
    <row r="987" spans="44:47" ht="15.75" customHeight="1" x14ac:dyDescent="0.25">
      <c r="AR987" s="6"/>
      <c r="AS987" s="7"/>
      <c r="AT987" s="1"/>
      <c r="AU987" s="1"/>
    </row>
    <row r="988" spans="44:47" ht="15.75" customHeight="1" x14ac:dyDescent="0.25">
      <c r="AR988" s="6"/>
      <c r="AS988" s="7"/>
      <c r="AT988" s="1"/>
      <c r="AU988" s="1"/>
    </row>
    <row r="989" spans="44:47" ht="15.75" customHeight="1" x14ac:dyDescent="0.25">
      <c r="AR989" s="6"/>
      <c r="AS989" s="7"/>
      <c r="AT989" s="1"/>
      <c r="AU989" s="1"/>
    </row>
    <row r="990" spans="44:47" ht="15.75" customHeight="1" x14ac:dyDescent="0.25">
      <c r="AR990" s="6"/>
      <c r="AS990" s="7"/>
      <c r="AT990" s="1"/>
      <c r="AU990" s="1"/>
    </row>
    <row r="991" spans="44:47" ht="15.75" customHeight="1" x14ac:dyDescent="0.25">
      <c r="AR991" s="6"/>
      <c r="AS991" s="7"/>
      <c r="AT991" s="1"/>
      <c r="AU991" s="1"/>
    </row>
    <row r="992" spans="44:47" ht="15.75" customHeight="1" x14ac:dyDescent="0.25">
      <c r="AR992" s="6"/>
      <c r="AS992" s="7"/>
      <c r="AT992" s="1"/>
      <c r="AU992" s="1"/>
    </row>
    <row r="993" spans="44:47" ht="15.75" customHeight="1" x14ac:dyDescent="0.25">
      <c r="AR993" s="6"/>
      <c r="AS993" s="7"/>
      <c r="AT993" s="1"/>
      <c r="AU993" s="1"/>
    </row>
    <row r="994" spans="44:47" ht="15.75" customHeight="1" x14ac:dyDescent="0.25">
      <c r="AR994" s="6"/>
      <c r="AS994" s="7"/>
      <c r="AT994" s="1"/>
      <c r="AU994" s="1"/>
    </row>
    <row r="995" spans="44:47" ht="15.75" customHeight="1" x14ac:dyDescent="0.25">
      <c r="AR995" s="6"/>
      <c r="AS995" s="7"/>
      <c r="AT995" s="1"/>
      <c r="AU995" s="1"/>
    </row>
    <row r="996" spans="44:47" ht="15.75" customHeight="1" x14ac:dyDescent="0.25">
      <c r="AR996" s="6"/>
      <c r="AS996" s="7"/>
      <c r="AT996" s="1"/>
      <c r="AU996" s="1"/>
    </row>
    <row r="997" spans="44:47" ht="15.75" customHeight="1" x14ac:dyDescent="0.25">
      <c r="AR997" s="6"/>
      <c r="AS997" s="7"/>
      <c r="AT997" s="1"/>
      <c r="AU997" s="1"/>
    </row>
    <row r="998" spans="44:47" ht="15.75" customHeight="1" x14ac:dyDescent="0.25">
      <c r="AR998" s="6"/>
      <c r="AS998" s="7"/>
      <c r="AT998" s="1"/>
      <c r="AU998" s="1"/>
    </row>
    <row r="999" spans="44:47" ht="15.75" customHeight="1" x14ac:dyDescent="0.25">
      <c r="AR999" s="6"/>
      <c r="AS999" s="7"/>
      <c r="AT999" s="1"/>
      <c r="AU999" s="1"/>
    </row>
    <row r="1000" spans="44:47" ht="15.75" customHeight="1" x14ac:dyDescent="0.25">
      <c r="AR1000" s="6"/>
      <c r="AS1000" s="7"/>
      <c r="AT1000" s="1"/>
      <c r="AU1000" s="1"/>
    </row>
  </sheetData>
  <mergeCells count="5">
    <mergeCell ref="BA1:BL1"/>
    <mergeCell ref="BM1:BX1"/>
    <mergeCell ref="BY1:CJ1"/>
    <mergeCell ref="CK1:CL1"/>
    <mergeCell ref="CV1:CX1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6C045-EF92-4158-9BF8-E7097BCFE178}">
  <sheetPr>
    <pageSetUpPr fitToPage="1"/>
  </sheetPr>
  <dimension ref="A1:CZ1000"/>
  <sheetViews>
    <sheetView topLeftCell="B1" workbookViewId="0">
      <selection activeCell="D6" sqref="D6"/>
    </sheetView>
  </sheetViews>
  <sheetFormatPr defaultColWidth="12.625" defaultRowHeight="15" customHeight="1" x14ac:dyDescent="0.2"/>
  <cols>
    <col min="1" max="1" width="29" hidden="1" customWidth="1"/>
    <col min="2" max="3" width="8" customWidth="1"/>
    <col min="4" max="4" width="45.625" customWidth="1"/>
    <col min="5" max="7" width="14.25" customWidth="1"/>
    <col min="8" max="16" width="14.25" hidden="1" customWidth="1"/>
    <col min="17" max="19" width="14.25" customWidth="1"/>
    <col min="20" max="29" width="14.25" hidden="1" customWidth="1"/>
    <col min="30" max="32" width="17.75" hidden="1" customWidth="1"/>
    <col min="33" max="34" width="15.25" hidden="1" customWidth="1"/>
    <col min="35" max="59" width="13.25" hidden="1" customWidth="1"/>
    <col min="60" max="60" width="13.625" hidden="1" customWidth="1"/>
    <col min="61" max="61" width="13.25" hidden="1" customWidth="1"/>
    <col min="62" max="62" width="13.375" hidden="1" customWidth="1"/>
    <col min="63" max="69" width="13.25" hidden="1" customWidth="1"/>
    <col min="70" max="71" width="12.875" hidden="1" customWidth="1"/>
    <col min="72" max="72" width="14.25" hidden="1" customWidth="1"/>
    <col min="73" max="74" width="12.875" hidden="1" customWidth="1"/>
    <col min="75" max="76" width="15.5" hidden="1" customWidth="1"/>
    <col min="77" max="82" width="13.75" hidden="1" customWidth="1"/>
    <col min="83" max="83" width="13" hidden="1" customWidth="1"/>
    <col min="84" max="85" width="13.25" hidden="1" customWidth="1"/>
    <col min="86" max="86" width="12" hidden="1" customWidth="1"/>
    <col min="87" max="87" width="9.5" hidden="1" customWidth="1"/>
    <col min="88" max="89" width="12.875" hidden="1" customWidth="1"/>
    <col min="90" max="90" width="10.5" hidden="1" customWidth="1"/>
    <col min="91" max="95" width="11.875" hidden="1" customWidth="1"/>
    <col min="96" max="96" width="12.5" hidden="1" customWidth="1"/>
    <col min="97" max="99" width="9.75" hidden="1" customWidth="1"/>
    <col min="100" max="101" width="7.75" customWidth="1"/>
    <col min="102" max="104" width="8" customWidth="1"/>
  </cols>
  <sheetData>
    <row r="1" spans="1:104" x14ac:dyDescent="0.25">
      <c r="A1" s="1" t="s">
        <v>0</v>
      </c>
      <c r="B1" s="1" t="s">
        <v>1</v>
      </c>
      <c r="E1" s="2"/>
      <c r="F1" s="2">
        <v>2022</v>
      </c>
      <c r="I1" s="2"/>
      <c r="P1" s="17"/>
      <c r="Q1" s="71"/>
      <c r="R1" s="67">
        <v>2021</v>
      </c>
      <c r="V1" s="67"/>
      <c r="X1" s="17"/>
      <c r="Y1" s="69"/>
      <c r="AC1" s="67">
        <v>2020</v>
      </c>
      <c r="AD1" s="13">
        <v>2020</v>
      </c>
      <c r="AH1" s="3"/>
      <c r="AI1" s="1"/>
      <c r="AL1" s="85"/>
      <c r="AN1" s="30"/>
      <c r="AO1" s="99">
        <v>2019</v>
      </c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100">
        <v>2018</v>
      </c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1"/>
      <c r="BM1" s="102">
        <v>2017</v>
      </c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103"/>
      <c r="BY1" s="104"/>
      <c r="BZ1" s="105"/>
      <c r="CA1" s="31"/>
      <c r="CB1" s="31"/>
      <c r="CC1" s="31"/>
      <c r="CD1" s="31"/>
      <c r="CE1" s="31"/>
      <c r="CF1" s="86"/>
      <c r="CG1" s="87"/>
      <c r="CH1" s="87"/>
      <c r="CI1" s="87"/>
      <c r="CJ1" s="104">
        <v>2015</v>
      </c>
      <c r="CK1" s="105"/>
      <c r="CL1" s="106"/>
      <c r="CM1" s="86"/>
      <c r="CN1" s="32"/>
      <c r="CO1" s="87"/>
      <c r="CP1" s="87"/>
      <c r="CQ1" s="86"/>
      <c r="CR1" s="86"/>
      <c r="CS1" s="86"/>
      <c r="CT1" s="86"/>
      <c r="CU1" s="87"/>
    </row>
    <row r="2" spans="1:104" x14ac:dyDescent="0.25">
      <c r="E2" s="4" t="s">
        <v>10</v>
      </c>
      <c r="F2" s="4" t="s">
        <v>11</v>
      </c>
      <c r="G2" s="4" t="s">
        <v>12</v>
      </c>
      <c r="H2" s="4" t="s">
        <v>13</v>
      </c>
      <c r="I2" s="4" t="s">
        <v>2</v>
      </c>
      <c r="J2" s="4" t="s">
        <v>14</v>
      </c>
      <c r="K2" s="4" t="s">
        <v>15</v>
      </c>
      <c r="L2" s="4" t="s">
        <v>5</v>
      </c>
      <c r="M2" s="4" t="s">
        <v>6</v>
      </c>
      <c r="N2" s="4" t="s">
        <v>7</v>
      </c>
      <c r="O2" s="4" t="s">
        <v>8</v>
      </c>
      <c r="P2" s="4" t="s">
        <v>9</v>
      </c>
      <c r="Q2" s="70" t="s">
        <v>10</v>
      </c>
      <c r="R2" s="4" t="s">
        <v>11</v>
      </c>
      <c r="S2" s="4" t="s">
        <v>12</v>
      </c>
      <c r="T2" s="4" t="s">
        <v>13</v>
      </c>
      <c r="U2" s="4" t="s">
        <v>2</v>
      </c>
      <c r="V2" s="5" t="s">
        <v>14</v>
      </c>
      <c r="W2" s="5" t="s">
        <v>15</v>
      </c>
      <c r="X2" s="5" t="s">
        <v>5</v>
      </c>
      <c r="Y2" s="68" t="s">
        <v>16</v>
      </c>
      <c r="Z2" s="5" t="s">
        <v>17</v>
      </c>
      <c r="AA2" s="5" t="s">
        <v>18</v>
      </c>
      <c r="AB2" s="5" t="s">
        <v>19</v>
      </c>
      <c r="AC2" s="5" t="s">
        <v>20</v>
      </c>
      <c r="AD2" s="5" t="s">
        <v>21</v>
      </c>
      <c r="AE2" s="5" t="s">
        <v>22</v>
      </c>
      <c r="AF2" s="4" t="s">
        <v>23</v>
      </c>
      <c r="AG2" s="4" t="s">
        <v>24</v>
      </c>
      <c r="AH2" s="5" t="s">
        <v>14</v>
      </c>
      <c r="AI2" s="5" t="s">
        <v>15</v>
      </c>
      <c r="AJ2" s="5" t="s">
        <v>5</v>
      </c>
      <c r="AK2" s="34" t="s">
        <v>16</v>
      </c>
      <c r="AL2" s="5" t="s">
        <v>17</v>
      </c>
      <c r="AM2" s="5" t="s">
        <v>18</v>
      </c>
      <c r="AN2" s="5" t="s">
        <v>19</v>
      </c>
      <c r="AO2" s="5" t="s">
        <v>20</v>
      </c>
      <c r="AP2" s="5" t="s">
        <v>21</v>
      </c>
      <c r="AQ2" s="5" t="s">
        <v>22</v>
      </c>
      <c r="AR2" s="5" t="s">
        <v>23</v>
      </c>
      <c r="AS2" s="5" t="s">
        <v>24</v>
      </c>
      <c r="AT2" s="5" t="s">
        <v>14</v>
      </c>
      <c r="AU2" s="5" t="s">
        <v>15</v>
      </c>
      <c r="AV2" s="5" t="s">
        <v>5</v>
      </c>
      <c r="AW2" s="5" t="s">
        <v>16</v>
      </c>
      <c r="AX2" s="5" t="s">
        <v>17</v>
      </c>
      <c r="AY2" s="5" t="s">
        <v>18</v>
      </c>
      <c r="AZ2" s="5" t="s">
        <v>19</v>
      </c>
      <c r="BA2" s="5" t="s">
        <v>20</v>
      </c>
      <c r="BB2" s="5" t="s">
        <v>21</v>
      </c>
      <c r="BC2" s="5" t="s">
        <v>22</v>
      </c>
      <c r="BD2" s="5" t="s">
        <v>23</v>
      </c>
      <c r="BE2" s="5" t="s">
        <v>24</v>
      </c>
      <c r="BF2" s="5" t="s">
        <v>14</v>
      </c>
      <c r="BG2" s="5" t="s">
        <v>15</v>
      </c>
      <c r="BH2" s="5" t="s">
        <v>5</v>
      </c>
      <c r="BI2" s="5" t="s">
        <v>16</v>
      </c>
      <c r="BJ2" s="5" t="s">
        <v>17</v>
      </c>
      <c r="BK2" s="5" t="s">
        <v>18</v>
      </c>
      <c r="BL2" s="5" t="s">
        <v>19</v>
      </c>
      <c r="BM2" s="35" t="s">
        <v>20</v>
      </c>
      <c r="BN2" s="35" t="s">
        <v>21</v>
      </c>
      <c r="BO2" s="35" t="s">
        <v>22</v>
      </c>
      <c r="BP2" s="35" t="s">
        <v>23</v>
      </c>
      <c r="BQ2" s="35" t="s">
        <v>24</v>
      </c>
      <c r="BR2" s="35" t="s">
        <v>14</v>
      </c>
      <c r="BS2" s="35" t="s">
        <v>15</v>
      </c>
      <c r="BT2" s="35" t="s">
        <v>5</v>
      </c>
      <c r="BU2" s="35" t="s">
        <v>16</v>
      </c>
      <c r="BV2" s="35" t="s">
        <v>17</v>
      </c>
      <c r="BW2" s="35" t="s">
        <v>18</v>
      </c>
      <c r="BX2" s="35" t="s">
        <v>19</v>
      </c>
      <c r="BY2" s="35" t="s">
        <v>21</v>
      </c>
      <c r="BZ2" s="35" t="s">
        <v>22</v>
      </c>
      <c r="CA2" s="35" t="s">
        <v>23</v>
      </c>
      <c r="CB2" s="35" t="s">
        <v>24</v>
      </c>
      <c r="CC2" s="35" t="s">
        <v>14</v>
      </c>
      <c r="CD2" s="35" t="s">
        <v>15</v>
      </c>
      <c r="CE2" s="35" t="s">
        <v>5</v>
      </c>
      <c r="CF2" s="35" t="s">
        <v>16</v>
      </c>
      <c r="CG2" s="35" t="s">
        <v>17</v>
      </c>
      <c r="CH2" s="35" t="s">
        <v>18</v>
      </c>
      <c r="CI2" s="35" t="s">
        <v>19</v>
      </c>
      <c r="CJ2" s="35" t="s">
        <v>20</v>
      </c>
      <c r="CK2" s="35" t="s">
        <v>21</v>
      </c>
      <c r="CL2" s="35" t="s">
        <v>22</v>
      </c>
      <c r="CM2" s="35" t="s">
        <v>23</v>
      </c>
      <c r="CN2" s="35" t="s">
        <v>24</v>
      </c>
      <c r="CO2" s="35" t="s">
        <v>14</v>
      </c>
      <c r="CP2" s="35" t="s">
        <v>15</v>
      </c>
      <c r="CQ2" s="35" t="s">
        <v>5</v>
      </c>
      <c r="CR2" s="35" t="s">
        <v>16</v>
      </c>
      <c r="CS2" s="35" t="s">
        <v>17</v>
      </c>
      <c r="CT2" s="35" t="s">
        <v>18</v>
      </c>
      <c r="CU2" s="35" t="s">
        <v>19</v>
      </c>
    </row>
    <row r="3" spans="1:104" x14ac:dyDescent="0.25">
      <c r="A3" s="36" t="s">
        <v>25</v>
      </c>
      <c r="D3" s="1" t="s">
        <v>26</v>
      </c>
      <c r="E3" s="1">
        <f>325+17</f>
        <v>342</v>
      </c>
      <c r="F3" s="1">
        <f>329+17</f>
        <v>346</v>
      </c>
      <c r="G3" s="1">
        <f>324+17</f>
        <v>341</v>
      </c>
      <c r="H3" s="1">
        <f>326+17</f>
        <v>343</v>
      </c>
      <c r="I3" s="1">
        <f>325+17</f>
        <v>342</v>
      </c>
      <c r="J3" s="1">
        <f>322+17</f>
        <v>339</v>
      </c>
      <c r="K3" s="1">
        <f>324+17</f>
        <v>341</v>
      </c>
      <c r="L3" s="1">
        <f>326+17</f>
        <v>343</v>
      </c>
      <c r="M3" s="1">
        <f>325+17</f>
        <v>342</v>
      </c>
      <c r="N3" s="1">
        <f>326+17</f>
        <v>343</v>
      </c>
      <c r="O3" s="1">
        <f>335+17</f>
        <v>352</v>
      </c>
      <c r="P3" s="15">
        <f>329+17</f>
        <v>346</v>
      </c>
      <c r="Q3" s="21">
        <f>336+17</f>
        <v>353</v>
      </c>
      <c r="R3" s="15">
        <f>333+17</f>
        <v>350</v>
      </c>
      <c r="S3" s="15">
        <f>338+17</f>
        <v>355</v>
      </c>
      <c r="T3" s="15">
        <f>337+17</f>
        <v>354</v>
      </c>
      <c r="U3" s="15">
        <f>327+17</f>
        <v>344</v>
      </c>
      <c r="V3" s="15">
        <f>330+17</f>
        <v>347</v>
      </c>
      <c r="W3" s="15">
        <f>332+17</f>
        <v>349</v>
      </c>
      <c r="X3" s="15">
        <f>330+17</f>
        <v>347</v>
      </c>
      <c r="Y3" s="15">
        <f>335+17</f>
        <v>352</v>
      </c>
      <c r="Z3" s="15">
        <f>330+17</f>
        <v>347</v>
      </c>
      <c r="AA3" s="15">
        <f>322+17</f>
        <v>339</v>
      </c>
      <c r="AB3" s="15">
        <f>317+17</f>
        <v>334</v>
      </c>
      <c r="AC3" s="15">
        <f>329+17</f>
        <v>346</v>
      </c>
      <c r="AD3" s="15">
        <f>320+17</f>
        <v>337</v>
      </c>
      <c r="AE3" s="15">
        <f>323+17</f>
        <v>340</v>
      </c>
      <c r="AF3" s="15">
        <f>319+17</f>
        <v>336</v>
      </c>
      <c r="AG3" s="1">
        <f>325+17</f>
        <v>342</v>
      </c>
      <c r="AH3" s="1">
        <v>334</v>
      </c>
      <c r="AI3" s="1">
        <v>323</v>
      </c>
      <c r="AJ3" s="1">
        <v>328</v>
      </c>
      <c r="AK3" s="37">
        <v>326</v>
      </c>
      <c r="AL3" s="1">
        <v>328</v>
      </c>
      <c r="AM3" s="1">
        <v>332</v>
      </c>
      <c r="AN3" s="1">
        <v>349</v>
      </c>
      <c r="AO3" s="1">
        <v>360</v>
      </c>
      <c r="AP3" s="1">
        <v>360</v>
      </c>
      <c r="AQ3" s="1">
        <v>363</v>
      </c>
      <c r="AR3" s="1">
        <v>371</v>
      </c>
      <c r="AS3" s="1">
        <v>378</v>
      </c>
      <c r="AT3" s="1">
        <v>374</v>
      </c>
      <c r="AU3" s="1">
        <v>375</v>
      </c>
      <c r="AV3" s="1">
        <v>376</v>
      </c>
      <c r="AW3" s="1">
        <v>383</v>
      </c>
      <c r="AX3" s="1">
        <v>387</v>
      </c>
      <c r="AY3" s="1">
        <v>386</v>
      </c>
      <c r="AZ3" s="1">
        <v>392</v>
      </c>
      <c r="BA3" s="1">
        <v>405</v>
      </c>
      <c r="BB3" s="1">
        <v>407</v>
      </c>
      <c r="BC3" s="1">
        <v>399</v>
      </c>
      <c r="BD3" s="1">
        <v>396</v>
      </c>
      <c r="BE3" s="1">
        <v>396</v>
      </c>
      <c r="BF3" s="1">
        <v>397</v>
      </c>
      <c r="BG3" s="1">
        <v>400</v>
      </c>
      <c r="BH3" s="1">
        <v>395</v>
      </c>
      <c r="BI3" s="1">
        <v>387</v>
      </c>
      <c r="BJ3" s="1">
        <v>385</v>
      </c>
      <c r="BK3" s="1">
        <v>392</v>
      </c>
      <c r="BL3" s="1">
        <v>397</v>
      </c>
      <c r="BM3" s="1">
        <v>418</v>
      </c>
      <c r="BN3" s="1">
        <v>417</v>
      </c>
      <c r="BO3" s="1">
        <v>421</v>
      </c>
      <c r="BP3" s="1">
        <f>412+14</f>
        <v>426</v>
      </c>
      <c r="BQ3" s="1">
        <v>417</v>
      </c>
      <c r="BR3" s="1">
        <v>424</v>
      </c>
      <c r="BS3" s="1">
        <v>424</v>
      </c>
      <c r="BT3" s="1">
        <v>420</v>
      </c>
      <c r="BU3" s="1">
        <v>420</v>
      </c>
      <c r="BV3" s="1">
        <v>423</v>
      </c>
      <c r="BW3" s="1">
        <f>404+13</f>
        <v>417</v>
      </c>
      <c r="BX3" s="1">
        <v>421</v>
      </c>
      <c r="BY3" s="1">
        <v>451</v>
      </c>
      <c r="BZ3" s="1">
        <f>433+13</f>
        <v>446</v>
      </c>
      <c r="CA3" s="1">
        <f>428+13</f>
        <v>441</v>
      </c>
      <c r="CB3" s="1">
        <v>439</v>
      </c>
      <c r="CC3" s="1">
        <v>431</v>
      </c>
      <c r="CD3" s="1">
        <v>440</v>
      </c>
      <c r="CE3" s="1">
        <v>445</v>
      </c>
      <c r="CF3" s="1">
        <v>441</v>
      </c>
      <c r="CG3" s="1">
        <v>444</v>
      </c>
      <c r="CH3" s="1">
        <v>441</v>
      </c>
      <c r="CI3" s="1">
        <v>449</v>
      </c>
      <c r="CJ3" s="1">
        <v>440</v>
      </c>
      <c r="CK3" s="1">
        <v>438</v>
      </c>
      <c r="CL3" s="1">
        <v>437</v>
      </c>
      <c r="CM3" s="1">
        <v>435</v>
      </c>
      <c r="CN3" s="1">
        <v>433</v>
      </c>
      <c r="CO3" s="1">
        <v>432</v>
      </c>
      <c r="CP3" s="1">
        <v>430</v>
      </c>
      <c r="CQ3" s="1">
        <v>428</v>
      </c>
      <c r="CR3" s="1">
        <v>430</v>
      </c>
      <c r="CS3" s="1">
        <v>426</v>
      </c>
      <c r="CT3" s="1">
        <v>428</v>
      </c>
      <c r="CU3" s="1">
        <v>439</v>
      </c>
    </row>
    <row r="4" spans="1:104" x14ac:dyDescent="0.25">
      <c r="A4" s="36" t="s">
        <v>27</v>
      </c>
      <c r="D4" s="1" t="s">
        <v>28</v>
      </c>
      <c r="E4" s="23">
        <f t="shared" ref="E4:S4" si="0">AVERAGE(E3:H3)</f>
        <v>343</v>
      </c>
      <c r="F4" s="23">
        <f t="shared" si="0"/>
        <v>343</v>
      </c>
      <c r="G4" s="23">
        <f t="shared" si="0"/>
        <v>341.25</v>
      </c>
      <c r="H4" s="23">
        <f t="shared" si="0"/>
        <v>341.25</v>
      </c>
      <c r="I4" s="23">
        <f t="shared" si="0"/>
        <v>341.25</v>
      </c>
      <c r="J4" s="23">
        <f t="shared" si="0"/>
        <v>341.25</v>
      </c>
      <c r="K4" s="23">
        <f t="shared" si="0"/>
        <v>342.25</v>
      </c>
      <c r="L4" s="23">
        <f t="shared" si="0"/>
        <v>345</v>
      </c>
      <c r="M4" s="23">
        <f t="shared" si="0"/>
        <v>345.75</v>
      </c>
      <c r="N4" s="23">
        <f t="shared" si="0"/>
        <v>348.5</v>
      </c>
      <c r="O4" s="23">
        <f t="shared" si="0"/>
        <v>350.25</v>
      </c>
      <c r="P4" s="39">
        <f t="shared" si="0"/>
        <v>351</v>
      </c>
      <c r="Q4" s="40">
        <f t="shared" si="0"/>
        <v>353</v>
      </c>
      <c r="R4" s="39">
        <f t="shared" si="0"/>
        <v>350.75</v>
      </c>
      <c r="S4" s="39">
        <f t="shared" si="0"/>
        <v>350</v>
      </c>
      <c r="T4" s="39">
        <f t="shared" ref="T4:Y4" si="1">AVERAGE(T3:W3)</f>
        <v>348.5</v>
      </c>
      <c r="U4" s="39">
        <f t="shared" si="1"/>
        <v>346.75</v>
      </c>
      <c r="V4" s="39">
        <f t="shared" si="1"/>
        <v>348.75</v>
      </c>
      <c r="W4" s="39">
        <f t="shared" si="1"/>
        <v>348.75</v>
      </c>
      <c r="X4" s="39">
        <f t="shared" si="1"/>
        <v>346.25</v>
      </c>
      <c r="Y4" s="39">
        <f t="shared" si="1"/>
        <v>343</v>
      </c>
      <c r="Z4" s="39">
        <f>AVERAGE(Z3:AB3)</f>
        <v>340</v>
      </c>
      <c r="AA4" s="39">
        <f>AVERAGE(AA3:AB3)</f>
        <v>336.5</v>
      </c>
      <c r="AB4" s="39">
        <f>AVERAGE(AB3)</f>
        <v>334</v>
      </c>
      <c r="AC4" s="39">
        <f t="shared" ref="AC4:AH4" si="2">AVERAGE(AC3:AI3)</f>
        <v>336.85714285714283</v>
      </c>
      <c r="AD4" s="39">
        <f t="shared" si="2"/>
        <v>334.28571428571428</v>
      </c>
      <c r="AE4" s="39">
        <f t="shared" si="2"/>
        <v>332.71428571428572</v>
      </c>
      <c r="AF4" s="39">
        <f t="shared" si="2"/>
        <v>331</v>
      </c>
      <c r="AG4" s="39">
        <f t="shared" si="2"/>
        <v>330.42857142857144</v>
      </c>
      <c r="AH4" s="23">
        <f t="shared" si="2"/>
        <v>331.42857142857144</v>
      </c>
      <c r="AI4" s="23">
        <f>AVERAGE(AI3:AN3)</f>
        <v>331</v>
      </c>
      <c r="AJ4" s="23">
        <f>AVERAGE(AJ3:AN3)</f>
        <v>332.6</v>
      </c>
      <c r="AK4" s="41">
        <f>AVERAGE(AK3:AN3)</f>
        <v>333.75</v>
      </c>
      <c r="AL4" s="23">
        <f>AVERAGE(AL3:AN3)</f>
        <v>336.33333333333331</v>
      </c>
      <c r="AM4" s="23">
        <f>AVERAGE(AM3:AN3)</f>
        <v>340.5</v>
      </c>
      <c r="AN4" s="23">
        <f>AVERAGE(AN3)</f>
        <v>349</v>
      </c>
      <c r="AO4" s="23">
        <f>AVERAGE(AO3:AZ3)</f>
        <v>375.41666666666669</v>
      </c>
      <c r="AP4" s="23">
        <f>AVERAGE(AP3:AZ3)</f>
        <v>376.81818181818181</v>
      </c>
      <c r="AQ4" s="23">
        <f>AVERAGE(AQ3:AZ3)</f>
        <v>378.5</v>
      </c>
      <c r="AR4" s="23">
        <f>AVERAGE(AR3:AZ3)</f>
        <v>380.22222222222223</v>
      </c>
      <c r="AS4" s="23">
        <f>AVERAGE(AS3:AZ3)</f>
        <v>381.375</v>
      </c>
      <c r="AT4" s="23">
        <f>AVERAGE(AT3:AZ3)</f>
        <v>381.85714285714283</v>
      </c>
      <c r="AU4" s="23">
        <f>AVERAGE(AU3:AZ3)</f>
        <v>383.16666666666669</v>
      </c>
      <c r="AV4" s="23">
        <f>AVERAGE(AV3:AZ3)</f>
        <v>384.8</v>
      </c>
      <c r="AW4" s="23">
        <f>AVERAGE(AW3:AZ3)</f>
        <v>387</v>
      </c>
      <c r="AX4" s="23">
        <f>AVERAGE(AX3:AZ3)</f>
        <v>388.33333333333331</v>
      </c>
      <c r="AY4" s="23">
        <f>AVERAGE(AY3:AZ3)</f>
        <v>389</v>
      </c>
      <c r="AZ4" s="23">
        <f>AVERAGE(AZ3)</f>
        <v>392</v>
      </c>
      <c r="BA4" s="23">
        <f>AVERAGE(BA3:BL3)</f>
        <v>396.33333333333331</v>
      </c>
      <c r="BB4" s="23">
        <f>AVERAGE(BB3:BL3)</f>
        <v>395.54545454545456</v>
      </c>
      <c r="BC4" s="23">
        <f>AVERAGE(BC3:BL3)</f>
        <v>394.4</v>
      </c>
      <c r="BD4" s="23">
        <f>AVERAGE(BD3:BL3)</f>
        <v>393.88888888888891</v>
      </c>
      <c r="BE4" s="23">
        <f>AVERAGE(BE3:BL3)</f>
        <v>393.625</v>
      </c>
      <c r="BF4" s="23">
        <f>AVERAGE(BF3:BL3)</f>
        <v>393.28571428571428</v>
      </c>
      <c r="BG4" s="23">
        <f>AVERAGE(BG3:BL3)</f>
        <v>392.66666666666669</v>
      </c>
      <c r="BH4" s="23">
        <f>AVERAGE(BH3:BL3)</f>
        <v>391.2</v>
      </c>
      <c r="BI4" s="23">
        <f>AVERAGE(BI3:BL3)</f>
        <v>390.25</v>
      </c>
      <c r="BJ4" s="23">
        <f>AVERAGE(BJ3:BL3)</f>
        <v>391.33333333333331</v>
      </c>
      <c r="BK4" s="23">
        <f>AVERAGE(BK3:BL3)</f>
        <v>394.5</v>
      </c>
      <c r="BL4" s="23">
        <f>AVERAGE(BL3)</f>
        <v>397</v>
      </c>
      <c r="BM4" s="23">
        <f>AVERAGE(BM3:BX3)</f>
        <v>420.66666666666669</v>
      </c>
      <c r="BN4" s="23">
        <f>AVERAGE(BN3:BX3)</f>
        <v>420.90909090909093</v>
      </c>
      <c r="BO4" s="23">
        <f>AVERAGE(BO3:BX3)</f>
        <v>421.3</v>
      </c>
      <c r="BP4" s="23">
        <f>AVERAGE(BP3:BX3)</f>
        <v>421.33333333333331</v>
      </c>
      <c r="BQ4" s="23">
        <f>AVERAGE(BQ3:BX3)</f>
        <v>420.75</v>
      </c>
      <c r="BR4" s="23">
        <f>AVERAGE(BR3:BX3)</f>
        <v>421.28571428571428</v>
      </c>
      <c r="BS4" s="23">
        <f>AVERAGE(BS3:BX3)</f>
        <v>420.83333333333331</v>
      </c>
      <c r="BT4" s="23">
        <f>AVERAGE(BT3:BX3)</f>
        <v>420.2</v>
      </c>
      <c r="BU4" s="23">
        <f>AVERAGE(BU3:BX3)</f>
        <v>420.25</v>
      </c>
      <c r="BV4" s="23">
        <f>AVERAGE(BV3:BX3)</f>
        <v>420.33333333333331</v>
      </c>
      <c r="BW4" s="23">
        <f>AVERAGE(BW3:BX3)</f>
        <v>419</v>
      </c>
      <c r="BX4" s="23">
        <f>AVERAGE(BX3)</f>
        <v>421</v>
      </c>
      <c r="BY4" s="23">
        <f>AVERAGE(BY3:CI3)</f>
        <v>442.54545454545456</v>
      </c>
      <c r="BZ4" s="23">
        <f>AVERAGE(BZ3:CI3)</f>
        <v>441.7</v>
      </c>
      <c r="CA4" s="23">
        <f>AVERAGE(CA3:CI3)</f>
        <v>441.22222222222223</v>
      </c>
      <c r="CB4" s="23">
        <f>AVERAGE(CB3:CI3)</f>
        <v>441.25</v>
      </c>
      <c r="CC4" s="23">
        <f>AVERAGE(CC3:CI3)</f>
        <v>441.57142857142856</v>
      </c>
      <c r="CD4" s="23">
        <f>AVERAGE(CD3:CI3)</f>
        <v>443.33333333333331</v>
      </c>
      <c r="CE4" s="23">
        <f>AVERAGE(CE3:CI3)</f>
        <v>444</v>
      </c>
      <c r="CF4" s="23">
        <f>AVERAGE(CF3:CI3)</f>
        <v>443.75</v>
      </c>
      <c r="CG4" s="23">
        <f>AVERAGE(CG3:CI3)</f>
        <v>444.66666666666669</v>
      </c>
      <c r="CH4" s="23">
        <f>AVERAGE(CH3:CI3)</f>
        <v>445</v>
      </c>
      <c r="CI4" s="23">
        <f>+CI3</f>
        <v>449</v>
      </c>
      <c r="CJ4" s="23">
        <f>AVERAGE(CK3:CU3)</f>
        <v>432.36363636363637</v>
      </c>
      <c r="CK4" s="23">
        <f>AVERAGE(CK3:CU3)</f>
        <v>432.36363636363637</v>
      </c>
      <c r="CL4" s="23">
        <f>AVERAGE(CL3:CU3)</f>
        <v>431.8</v>
      </c>
      <c r="CM4" s="23">
        <f>AVERAGE(CM3:CU3)</f>
        <v>431.22222222222223</v>
      </c>
      <c r="CN4" s="23">
        <f>AVERAGE(CN3:CU3)</f>
        <v>430.75</v>
      </c>
      <c r="CO4" s="23">
        <f>AVERAGE(CO3:CU3)</f>
        <v>430.42857142857144</v>
      </c>
      <c r="CP4" s="23">
        <f>AVERAGE(CP3:CU3)</f>
        <v>430.16666666666669</v>
      </c>
      <c r="CQ4" s="23">
        <f>AVERAGE(CQ3:CU3)</f>
        <v>430.2</v>
      </c>
      <c r="CR4" s="23">
        <f>AVERAGE(CR3:CU3)</f>
        <v>430.75</v>
      </c>
      <c r="CS4" s="23">
        <f t="shared" ref="CS4:CT4" si="3">AVERAGE(CS3:CT3)</f>
        <v>427</v>
      </c>
      <c r="CT4" s="23">
        <f t="shared" si="3"/>
        <v>433.5</v>
      </c>
      <c r="CU4" s="1">
        <f>+CU3</f>
        <v>439</v>
      </c>
      <c r="CW4" s="17"/>
    </row>
    <row r="5" spans="1:104" x14ac:dyDescent="0.25">
      <c r="A5" s="1" t="s">
        <v>55</v>
      </c>
      <c r="D5" s="1" t="s">
        <v>30</v>
      </c>
      <c r="E5" s="1">
        <v>382</v>
      </c>
      <c r="F5" s="1">
        <v>382</v>
      </c>
      <c r="G5" s="1">
        <v>382</v>
      </c>
      <c r="H5" s="1">
        <v>382</v>
      </c>
      <c r="I5" s="1">
        <v>382</v>
      </c>
      <c r="J5" s="1">
        <v>382</v>
      </c>
      <c r="K5" s="1">
        <v>382</v>
      </c>
      <c r="L5" s="1">
        <v>382</v>
      </c>
      <c r="M5" s="1">
        <v>382</v>
      </c>
      <c r="N5" s="1">
        <v>382</v>
      </c>
      <c r="O5" s="1">
        <v>382</v>
      </c>
      <c r="P5" s="15">
        <v>382</v>
      </c>
      <c r="Q5" s="21">
        <v>382</v>
      </c>
      <c r="R5" s="15">
        <v>382</v>
      </c>
      <c r="S5" s="15">
        <v>382</v>
      </c>
      <c r="T5" s="15">
        <v>382</v>
      </c>
      <c r="U5" s="15">
        <v>382</v>
      </c>
      <c r="V5" s="17">
        <v>382</v>
      </c>
      <c r="W5" s="15">
        <v>382</v>
      </c>
      <c r="X5" s="15">
        <v>382</v>
      </c>
      <c r="Y5" s="15">
        <v>382</v>
      </c>
      <c r="Z5" s="15">
        <v>382</v>
      </c>
      <c r="AA5" s="15">
        <v>382</v>
      </c>
      <c r="AB5" s="15">
        <v>382</v>
      </c>
      <c r="AC5" s="15">
        <v>363</v>
      </c>
      <c r="AD5" s="15">
        <v>363</v>
      </c>
      <c r="AE5" s="15">
        <v>363</v>
      </c>
      <c r="AF5" s="14">
        <v>363</v>
      </c>
      <c r="AG5" s="16">
        <v>363</v>
      </c>
      <c r="AH5" s="1">
        <v>363</v>
      </c>
      <c r="AI5" s="1">
        <v>363</v>
      </c>
      <c r="AJ5" s="1">
        <v>363</v>
      </c>
      <c r="AK5" s="37">
        <v>363</v>
      </c>
      <c r="AL5" s="1">
        <v>363</v>
      </c>
      <c r="AM5" s="1">
        <v>363</v>
      </c>
      <c r="AN5" s="1">
        <v>363</v>
      </c>
      <c r="AO5" s="1">
        <v>415</v>
      </c>
      <c r="AP5" s="1">
        <v>415</v>
      </c>
      <c r="AQ5" s="1">
        <v>415</v>
      </c>
      <c r="AR5" s="1">
        <v>415</v>
      </c>
      <c r="AS5" s="1">
        <v>415</v>
      </c>
      <c r="AT5" s="1">
        <v>415</v>
      </c>
      <c r="AU5" s="1">
        <v>415</v>
      </c>
      <c r="AV5" s="1">
        <v>415</v>
      </c>
      <c r="AW5" s="1">
        <v>415</v>
      </c>
      <c r="AX5" s="1">
        <v>415</v>
      </c>
      <c r="AY5" s="1">
        <v>415</v>
      </c>
      <c r="AZ5" s="1">
        <v>415</v>
      </c>
      <c r="BA5" s="1">
        <v>415</v>
      </c>
      <c r="BB5" s="1">
        <v>415</v>
      </c>
      <c r="BC5" s="1">
        <v>415</v>
      </c>
      <c r="BD5" s="1">
        <v>415</v>
      </c>
      <c r="BE5" s="1">
        <v>415</v>
      </c>
      <c r="BF5" s="1">
        <v>415</v>
      </c>
      <c r="BG5" s="1">
        <v>415</v>
      </c>
      <c r="BH5" s="1">
        <v>415</v>
      </c>
      <c r="BI5" s="1">
        <v>415</v>
      </c>
      <c r="BJ5" s="1">
        <v>415</v>
      </c>
      <c r="BK5" s="1">
        <v>415</v>
      </c>
      <c r="BL5" s="1">
        <v>415</v>
      </c>
      <c r="BM5" s="1">
        <v>445</v>
      </c>
      <c r="BN5" s="1">
        <v>445</v>
      </c>
      <c r="BO5" s="1">
        <v>445</v>
      </c>
      <c r="BP5" s="1">
        <v>445</v>
      </c>
      <c r="BQ5" s="1">
        <v>445</v>
      </c>
      <c r="BR5" s="1">
        <v>445</v>
      </c>
      <c r="BS5" s="1">
        <v>445</v>
      </c>
      <c r="BT5" s="1">
        <v>445</v>
      </c>
      <c r="BU5" s="1">
        <v>445</v>
      </c>
      <c r="BV5" s="1">
        <v>445</v>
      </c>
      <c r="BW5" s="1">
        <v>445</v>
      </c>
      <c r="BX5" s="1">
        <v>445</v>
      </c>
      <c r="BY5" s="1">
        <v>461</v>
      </c>
      <c r="BZ5" s="1">
        <v>461</v>
      </c>
      <c r="CA5" s="1">
        <v>461</v>
      </c>
      <c r="CB5" s="1">
        <v>461</v>
      </c>
      <c r="CC5" s="1">
        <v>461</v>
      </c>
      <c r="CD5" s="1">
        <v>461</v>
      </c>
      <c r="CE5" s="1">
        <v>461</v>
      </c>
      <c r="CF5" s="1">
        <v>461</v>
      </c>
      <c r="CG5" s="1">
        <v>461</v>
      </c>
      <c r="CH5" s="1">
        <v>461</v>
      </c>
      <c r="CI5" s="1">
        <v>461</v>
      </c>
      <c r="CJ5" s="1">
        <v>460</v>
      </c>
      <c r="CK5" s="1">
        <v>460</v>
      </c>
      <c r="CL5" s="1">
        <v>460</v>
      </c>
      <c r="CM5" s="1">
        <v>460</v>
      </c>
      <c r="CN5" s="1">
        <v>460</v>
      </c>
      <c r="CO5" s="1">
        <v>460</v>
      </c>
      <c r="CP5" s="1">
        <v>460</v>
      </c>
      <c r="CQ5" s="1">
        <v>460</v>
      </c>
      <c r="CR5" s="1">
        <v>460</v>
      </c>
      <c r="CS5" s="1">
        <v>460</v>
      </c>
      <c r="CT5" s="1">
        <v>460</v>
      </c>
      <c r="CU5" s="1">
        <v>460</v>
      </c>
      <c r="CV5" s="17"/>
      <c r="CW5" s="17"/>
      <c r="CX5" s="17"/>
    </row>
    <row r="6" spans="1:104" x14ac:dyDescent="0.25">
      <c r="A6" s="1" t="s">
        <v>31</v>
      </c>
      <c r="D6" s="1" t="s">
        <v>32</v>
      </c>
      <c r="E6" s="23">
        <f t="shared" ref="E6:F6" si="4">+E4-E5</f>
        <v>-39</v>
      </c>
      <c r="F6" s="23">
        <f t="shared" si="4"/>
        <v>-39</v>
      </c>
      <c r="G6" s="23">
        <f t="shared" ref="G6:H6" si="5">+G4-G5</f>
        <v>-40.75</v>
      </c>
      <c r="H6" s="23">
        <f t="shared" si="5"/>
        <v>-40.75</v>
      </c>
      <c r="I6" s="23">
        <f t="shared" ref="I6:J6" si="6">+I4-I5</f>
        <v>-40.75</v>
      </c>
      <c r="J6" s="23">
        <f t="shared" si="6"/>
        <v>-40.75</v>
      </c>
      <c r="K6" s="23">
        <f t="shared" ref="K6:L6" si="7">+K4-K5</f>
        <v>-39.75</v>
      </c>
      <c r="L6" s="23">
        <f t="shared" si="7"/>
        <v>-37</v>
      </c>
      <c r="M6" s="23">
        <f t="shared" ref="M6:N6" si="8">+M4-M5</f>
        <v>-36.25</v>
      </c>
      <c r="N6" s="23">
        <f t="shared" si="8"/>
        <v>-33.5</v>
      </c>
      <c r="O6" s="23">
        <f t="shared" ref="O6:P6" si="9">+O4-O5</f>
        <v>-31.75</v>
      </c>
      <c r="P6" s="39">
        <f t="shared" si="9"/>
        <v>-31</v>
      </c>
      <c r="Q6" s="40">
        <f t="shared" ref="Q6:CB6" si="10">+Q4-Q5</f>
        <v>-29</v>
      </c>
      <c r="R6" s="39">
        <f t="shared" si="10"/>
        <v>-31.25</v>
      </c>
      <c r="S6" s="39">
        <f t="shared" si="10"/>
        <v>-32</v>
      </c>
      <c r="T6" s="39">
        <f t="shared" si="10"/>
        <v>-33.5</v>
      </c>
      <c r="U6" s="39">
        <f t="shared" si="10"/>
        <v>-35.25</v>
      </c>
      <c r="V6" s="39">
        <f t="shared" si="10"/>
        <v>-33.25</v>
      </c>
      <c r="W6" s="39">
        <f t="shared" si="10"/>
        <v>-33.25</v>
      </c>
      <c r="X6" s="39">
        <f t="shared" si="10"/>
        <v>-35.75</v>
      </c>
      <c r="Y6" s="39">
        <f t="shared" si="10"/>
        <v>-39</v>
      </c>
      <c r="Z6" s="39">
        <f t="shared" si="10"/>
        <v>-42</v>
      </c>
      <c r="AA6" s="39">
        <f t="shared" si="10"/>
        <v>-45.5</v>
      </c>
      <c r="AB6" s="39">
        <f t="shared" si="10"/>
        <v>-48</v>
      </c>
      <c r="AC6" s="39">
        <f t="shared" si="10"/>
        <v>-26.142857142857167</v>
      </c>
      <c r="AD6" s="39">
        <f t="shared" si="10"/>
        <v>-28.714285714285722</v>
      </c>
      <c r="AE6" s="39">
        <f t="shared" si="10"/>
        <v>-30.285714285714278</v>
      </c>
      <c r="AF6" s="39">
        <f t="shared" si="10"/>
        <v>-32</v>
      </c>
      <c r="AG6" s="39">
        <f t="shared" si="10"/>
        <v>-32.571428571428555</v>
      </c>
      <c r="AH6" s="23">
        <f t="shared" si="10"/>
        <v>-31.571428571428555</v>
      </c>
      <c r="AI6" s="23">
        <f t="shared" si="10"/>
        <v>-32</v>
      </c>
      <c r="AJ6" s="23">
        <f t="shared" si="10"/>
        <v>-30.399999999999977</v>
      </c>
      <c r="AK6" s="41">
        <f t="shared" si="10"/>
        <v>-29.25</v>
      </c>
      <c r="AL6" s="23">
        <f t="shared" si="10"/>
        <v>-26.666666666666686</v>
      </c>
      <c r="AM6" s="23">
        <f t="shared" si="10"/>
        <v>-22.5</v>
      </c>
      <c r="AN6" s="23">
        <f t="shared" si="10"/>
        <v>-14</v>
      </c>
      <c r="AO6" s="23">
        <f t="shared" si="10"/>
        <v>-39.583333333333314</v>
      </c>
      <c r="AP6" s="23">
        <f t="shared" si="10"/>
        <v>-38.181818181818187</v>
      </c>
      <c r="AQ6" s="23">
        <f t="shared" si="10"/>
        <v>-36.5</v>
      </c>
      <c r="AR6" s="23">
        <f t="shared" si="10"/>
        <v>-34.777777777777771</v>
      </c>
      <c r="AS6" s="23">
        <f t="shared" si="10"/>
        <v>-33.625</v>
      </c>
      <c r="AT6" s="23">
        <f t="shared" si="10"/>
        <v>-33.142857142857167</v>
      </c>
      <c r="AU6" s="23">
        <f t="shared" si="10"/>
        <v>-31.833333333333314</v>
      </c>
      <c r="AV6" s="23">
        <f t="shared" si="10"/>
        <v>-30.199999999999989</v>
      </c>
      <c r="AW6" s="23">
        <f t="shared" si="10"/>
        <v>-28</v>
      </c>
      <c r="AX6" s="23">
        <f t="shared" si="10"/>
        <v>-26.666666666666686</v>
      </c>
      <c r="AY6" s="23">
        <f t="shared" si="10"/>
        <v>-26</v>
      </c>
      <c r="AZ6" s="23">
        <f t="shared" si="10"/>
        <v>-23</v>
      </c>
      <c r="BA6" s="23">
        <f t="shared" si="10"/>
        <v>-18.666666666666686</v>
      </c>
      <c r="BB6" s="23">
        <f t="shared" si="10"/>
        <v>-19.454545454545439</v>
      </c>
      <c r="BC6" s="23">
        <f t="shared" si="10"/>
        <v>-20.600000000000023</v>
      </c>
      <c r="BD6" s="23">
        <f t="shared" si="10"/>
        <v>-21.111111111111086</v>
      </c>
      <c r="BE6" s="23">
        <f t="shared" si="10"/>
        <v>-21.375</v>
      </c>
      <c r="BF6" s="23">
        <f t="shared" si="10"/>
        <v>-21.714285714285722</v>
      </c>
      <c r="BG6" s="23">
        <f t="shared" si="10"/>
        <v>-22.333333333333314</v>
      </c>
      <c r="BH6" s="23">
        <f t="shared" si="10"/>
        <v>-23.800000000000011</v>
      </c>
      <c r="BI6" s="23">
        <f t="shared" si="10"/>
        <v>-24.75</v>
      </c>
      <c r="BJ6" s="23">
        <f t="shared" si="10"/>
        <v>-23.666666666666686</v>
      </c>
      <c r="BK6" s="23">
        <f t="shared" si="10"/>
        <v>-20.5</v>
      </c>
      <c r="BL6" s="23">
        <f t="shared" si="10"/>
        <v>-18</v>
      </c>
      <c r="BM6" s="23">
        <f t="shared" si="10"/>
        <v>-24.333333333333314</v>
      </c>
      <c r="BN6" s="23">
        <f t="shared" si="10"/>
        <v>-24.090909090909065</v>
      </c>
      <c r="BO6" s="23">
        <f t="shared" si="10"/>
        <v>-23.699999999999989</v>
      </c>
      <c r="BP6" s="23">
        <f t="shared" si="10"/>
        <v>-23.666666666666686</v>
      </c>
      <c r="BQ6" s="23">
        <f t="shared" si="10"/>
        <v>-24.25</v>
      </c>
      <c r="BR6" s="23">
        <f t="shared" si="10"/>
        <v>-23.714285714285722</v>
      </c>
      <c r="BS6" s="23">
        <f t="shared" si="10"/>
        <v>-24.166666666666686</v>
      </c>
      <c r="BT6" s="23">
        <f t="shared" si="10"/>
        <v>-24.800000000000011</v>
      </c>
      <c r="BU6" s="23">
        <f t="shared" si="10"/>
        <v>-24.75</v>
      </c>
      <c r="BV6" s="23">
        <f t="shared" si="10"/>
        <v>-24.666666666666686</v>
      </c>
      <c r="BW6" s="23">
        <f t="shared" si="10"/>
        <v>-26</v>
      </c>
      <c r="BX6" s="23">
        <f t="shared" si="10"/>
        <v>-24</v>
      </c>
      <c r="BY6" s="23">
        <f t="shared" si="10"/>
        <v>-18.454545454545439</v>
      </c>
      <c r="BZ6" s="23">
        <f t="shared" si="10"/>
        <v>-19.300000000000011</v>
      </c>
      <c r="CA6" s="23">
        <f t="shared" si="10"/>
        <v>-19.777777777777771</v>
      </c>
      <c r="CB6" s="23">
        <f t="shared" si="10"/>
        <v>-19.75</v>
      </c>
      <c r="CC6" s="23">
        <f t="shared" ref="CC6:CU6" si="11">+CC4-CC5</f>
        <v>-19.428571428571445</v>
      </c>
      <c r="CD6" s="23">
        <f t="shared" si="11"/>
        <v>-17.666666666666686</v>
      </c>
      <c r="CE6" s="23">
        <f t="shared" si="11"/>
        <v>-17</v>
      </c>
      <c r="CF6" s="23">
        <f t="shared" si="11"/>
        <v>-17.25</v>
      </c>
      <c r="CG6" s="23">
        <f t="shared" si="11"/>
        <v>-16.333333333333314</v>
      </c>
      <c r="CH6" s="23">
        <f t="shared" si="11"/>
        <v>-16</v>
      </c>
      <c r="CI6" s="23">
        <f t="shared" si="11"/>
        <v>-12</v>
      </c>
      <c r="CJ6" s="23">
        <f t="shared" si="11"/>
        <v>-27.636363636363626</v>
      </c>
      <c r="CK6" s="23">
        <f t="shared" si="11"/>
        <v>-27.636363636363626</v>
      </c>
      <c r="CL6" s="23">
        <f t="shared" si="11"/>
        <v>-28.199999999999989</v>
      </c>
      <c r="CM6" s="23">
        <f t="shared" si="11"/>
        <v>-28.777777777777771</v>
      </c>
      <c r="CN6" s="23">
        <f t="shared" si="11"/>
        <v>-29.25</v>
      </c>
      <c r="CO6" s="23">
        <f t="shared" si="11"/>
        <v>-29.571428571428555</v>
      </c>
      <c r="CP6" s="23">
        <f t="shared" si="11"/>
        <v>-29.833333333333314</v>
      </c>
      <c r="CQ6" s="23">
        <f t="shared" si="11"/>
        <v>-29.800000000000011</v>
      </c>
      <c r="CR6" s="23">
        <f t="shared" si="11"/>
        <v>-29.25</v>
      </c>
      <c r="CS6" s="23">
        <f t="shared" si="11"/>
        <v>-33</v>
      </c>
      <c r="CT6" s="23">
        <f t="shared" si="11"/>
        <v>-26.5</v>
      </c>
      <c r="CU6" s="23">
        <f t="shared" si="11"/>
        <v>-21</v>
      </c>
      <c r="CW6" s="17"/>
    </row>
    <row r="7" spans="1:104" x14ac:dyDescent="0.25">
      <c r="A7" s="1" t="s">
        <v>56</v>
      </c>
      <c r="D7" s="1" t="s">
        <v>34</v>
      </c>
      <c r="E7" s="24">
        <f>+E6*192</f>
        <v>-7488</v>
      </c>
      <c r="F7" s="24">
        <f t="shared" ref="F7" si="12">+F6*192</f>
        <v>-7488</v>
      </c>
      <c r="G7" s="24">
        <f t="shared" ref="G7:H7" si="13">+G6*192</f>
        <v>-7824</v>
      </c>
      <c r="H7" s="24">
        <f t="shared" si="13"/>
        <v>-7824</v>
      </c>
      <c r="I7" s="24">
        <f t="shared" ref="I7:J7" si="14">+I6*192</f>
        <v>-7824</v>
      </c>
      <c r="J7" s="24">
        <f t="shared" si="14"/>
        <v>-7824</v>
      </c>
      <c r="K7" s="24">
        <f t="shared" ref="K7:L7" si="15">+K6*192</f>
        <v>-7632</v>
      </c>
      <c r="L7" s="24">
        <f t="shared" si="15"/>
        <v>-7104</v>
      </c>
      <c r="M7" s="24">
        <f t="shared" ref="M7:N7" si="16">+M6*192</f>
        <v>-6960</v>
      </c>
      <c r="N7" s="24">
        <f t="shared" si="16"/>
        <v>-6432</v>
      </c>
      <c r="O7" s="24">
        <f t="shared" ref="O7:P7" si="17">+O6*192</f>
        <v>-6096</v>
      </c>
      <c r="P7" s="24">
        <f t="shared" si="17"/>
        <v>-5952</v>
      </c>
      <c r="Q7" s="65">
        <f t="shared" ref="Q7:AZ7" si="18">+Q6*192</f>
        <v>-5568</v>
      </c>
      <c r="R7" s="24">
        <f t="shared" si="18"/>
        <v>-6000</v>
      </c>
      <c r="S7" s="24">
        <f t="shared" si="18"/>
        <v>-6144</v>
      </c>
      <c r="T7" s="24">
        <f t="shared" si="18"/>
        <v>-6432</v>
      </c>
      <c r="U7" s="24">
        <f t="shared" si="18"/>
        <v>-6768</v>
      </c>
      <c r="V7" s="24">
        <f t="shared" si="18"/>
        <v>-6384</v>
      </c>
      <c r="W7" s="24">
        <f t="shared" si="18"/>
        <v>-6384</v>
      </c>
      <c r="X7" s="24">
        <f t="shared" si="18"/>
        <v>-6864</v>
      </c>
      <c r="Y7" s="24">
        <f t="shared" si="18"/>
        <v>-7488</v>
      </c>
      <c r="Z7" s="24">
        <f t="shared" si="18"/>
        <v>-8064</v>
      </c>
      <c r="AA7" s="24">
        <f t="shared" si="18"/>
        <v>-8736</v>
      </c>
      <c r="AB7" s="24">
        <f t="shared" si="18"/>
        <v>-9216</v>
      </c>
      <c r="AC7" s="24">
        <f t="shared" si="18"/>
        <v>-5019.4285714285761</v>
      </c>
      <c r="AD7" s="24">
        <f t="shared" si="18"/>
        <v>-5513.1428571428587</v>
      </c>
      <c r="AE7" s="24">
        <f t="shared" si="18"/>
        <v>-5814.8571428571413</v>
      </c>
      <c r="AF7" s="24">
        <f t="shared" si="18"/>
        <v>-6144</v>
      </c>
      <c r="AG7" s="24">
        <f t="shared" si="18"/>
        <v>-6253.7142857142826</v>
      </c>
      <c r="AH7" s="42">
        <f t="shared" si="18"/>
        <v>-6061.7142857142826</v>
      </c>
      <c r="AI7" s="24">
        <f t="shared" si="18"/>
        <v>-6144</v>
      </c>
      <c r="AJ7" s="24">
        <f t="shared" si="18"/>
        <v>-5836.7999999999956</v>
      </c>
      <c r="AK7" s="43">
        <f t="shared" si="18"/>
        <v>-5616</v>
      </c>
      <c r="AL7" s="24">
        <f t="shared" si="18"/>
        <v>-5120.0000000000036</v>
      </c>
      <c r="AM7" s="24">
        <f t="shared" si="18"/>
        <v>-4320</v>
      </c>
      <c r="AN7" s="24">
        <f t="shared" si="18"/>
        <v>-2688</v>
      </c>
      <c r="AO7" s="24">
        <f t="shared" si="18"/>
        <v>-7599.9999999999964</v>
      </c>
      <c r="AP7" s="24">
        <f t="shared" si="18"/>
        <v>-7330.9090909090919</v>
      </c>
      <c r="AQ7" s="24">
        <f t="shared" si="18"/>
        <v>-7008</v>
      </c>
      <c r="AR7" s="24">
        <f t="shared" si="18"/>
        <v>-6677.3333333333321</v>
      </c>
      <c r="AS7" s="24">
        <f t="shared" si="18"/>
        <v>-6456</v>
      </c>
      <c r="AT7" s="24">
        <f t="shared" si="18"/>
        <v>-6363.4285714285761</v>
      </c>
      <c r="AU7" s="24">
        <f t="shared" si="18"/>
        <v>-6111.9999999999964</v>
      </c>
      <c r="AV7" s="24">
        <f t="shared" si="18"/>
        <v>-5798.3999999999978</v>
      </c>
      <c r="AW7" s="24">
        <f t="shared" si="18"/>
        <v>-5376</v>
      </c>
      <c r="AX7" s="24">
        <f t="shared" si="18"/>
        <v>-5120.0000000000036</v>
      </c>
      <c r="AY7" s="24">
        <f t="shared" si="18"/>
        <v>-4992</v>
      </c>
      <c r="AZ7" s="24">
        <f t="shared" si="18"/>
        <v>-4416</v>
      </c>
      <c r="BA7" s="24">
        <f t="shared" ref="BA7:CU7" si="19">+BA6*168</f>
        <v>-3136.0000000000032</v>
      </c>
      <c r="BB7" s="24">
        <f t="shared" si="19"/>
        <v>-3268.3636363636338</v>
      </c>
      <c r="BC7" s="24">
        <f t="shared" si="19"/>
        <v>-3460.8000000000038</v>
      </c>
      <c r="BD7" s="24">
        <f t="shared" si="19"/>
        <v>-3546.6666666666624</v>
      </c>
      <c r="BE7" s="24">
        <f t="shared" si="19"/>
        <v>-3591</v>
      </c>
      <c r="BF7" s="24">
        <f t="shared" si="19"/>
        <v>-3648.0000000000014</v>
      </c>
      <c r="BG7" s="24">
        <f t="shared" si="19"/>
        <v>-3751.9999999999968</v>
      </c>
      <c r="BH7" s="24">
        <f t="shared" si="19"/>
        <v>-3998.4000000000019</v>
      </c>
      <c r="BI7" s="24">
        <f t="shared" si="19"/>
        <v>-4158</v>
      </c>
      <c r="BJ7" s="24">
        <f t="shared" si="19"/>
        <v>-3976.0000000000032</v>
      </c>
      <c r="BK7" s="24">
        <f t="shared" si="19"/>
        <v>-3444</v>
      </c>
      <c r="BL7" s="24">
        <f t="shared" si="19"/>
        <v>-3024</v>
      </c>
      <c r="BM7" s="24">
        <f t="shared" si="19"/>
        <v>-4087.9999999999968</v>
      </c>
      <c r="BN7" s="24">
        <f t="shared" si="19"/>
        <v>-4047.2727272727229</v>
      </c>
      <c r="BO7" s="24">
        <f t="shared" si="19"/>
        <v>-3981.5999999999981</v>
      </c>
      <c r="BP7" s="24">
        <f t="shared" si="19"/>
        <v>-3976.0000000000032</v>
      </c>
      <c r="BQ7" s="24">
        <f t="shared" si="19"/>
        <v>-4074</v>
      </c>
      <c r="BR7" s="24">
        <f t="shared" si="19"/>
        <v>-3984.0000000000014</v>
      </c>
      <c r="BS7" s="24">
        <f t="shared" si="19"/>
        <v>-4060.0000000000032</v>
      </c>
      <c r="BT7" s="24">
        <f t="shared" si="19"/>
        <v>-4166.4000000000015</v>
      </c>
      <c r="BU7" s="24">
        <f t="shared" si="19"/>
        <v>-4158</v>
      </c>
      <c r="BV7" s="24">
        <f t="shared" si="19"/>
        <v>-4144.0000000000036</v>
      </c>
      <c r="BW7" s="24">
        <f t="shared" si="19"/>
        <v>-4368</v>
      </c>
      <c r="BX7" s="24">
        <f t="shared" si="19"/>
        <v>-4032</v>
      </c>
      <c r="BY7" s="24">
        <f t="shared" si="19"/>
        <v>-3100.3636363636338</v>
      </c>
      <c r="BZ7" s="24">
        <f t="shared" si="19"/>
        <v>-3242.4000000000019</v>
      </c>
      <c r="CA7" s="24">
        <f t="shared" si="19"/>
        <v>-3322.6666666666656</v>
      </c>
      <c r="CB7" s="24">
        <f t="shared" si="19"/>
        <v>-3318</v>
      </c>
      <c r="CC7" s="24">
        <f t="shared" si="19"/>
        <v>-3264.0000000000027</v>
      </c>
      <c r="CD7" s="24">
        <f t="shared" si="19"/>
        <v>-2968.0000000000032</v>
      </c>
      <c r="CE7" s="24">
        <f t="shared" si="19"/>
        <v>-2856</v>
      </c>
      <c r="CF7" s="24">
        <f t="shared" si="19"/>
        <v>-2898</v>
      </c>
      <c r="CG7" s="24">
        <f t="shared" si="19"/>
        <v>-2743.9999999999968</v>
      </c>
      <c r="CH7" s="24">
        <f t="shared" si="19"/>
        <v>-2688</v>
      </c>
      <c r="CI7" s="24">
        <f t="shared" si="19"/>
        <v>-2016</v>
      </c>
      <c r="CJ7" s="24">
        <f t="shared" si="19"/>
        <v>-4642.9090909090892</v>
      </c>
      <c r="CK7" s="24">
        <f t="shared" si="19"/>
        <v>-4642.9090909090892</v>
      </c>
      <c r="CL7" s="24">
        <f t="shared" si="19"/>
        <v>-4737.5999999999985</v>
      </c>
      <c r="CM7" s="24">
        <f t="shared" si="19"/>
        <v>-4834.6666666666661</v>
      </c>
      <c r="CN7" s="24">
        <f t="shared" si="19"/>
        <v>-4914</v>
      </c>
      <c r="CO7" s="24">
        <f t="shared" si="19"/>
        <v>-4967.9999999999973</v>
      </c>
      <c r="CP7" s="24">
        <f t="shared" si="19"/>
        <v>-5011.9999999999964</v>
      </c>
      <c r="CQ7" s="24">
        <f t="shared" si="19"/>
        <v>-5006.4000000000015</v>
      </c>
      <c r="CR7" s="24">
        <f t="shared" si="19"/>
        <v>-4914</v>
      </c>
      <c r="CS7" s="24">
        <f t="shared" si="19"/>
        <v>-5544</v>
      </c>
      <c r="CT7" s="24">
        <f t="shared" si="19"/>
        <v>-4452</v>
      </c>
      <c r="CU7" s="24">
        <f t="shared" si="19"/>
        <v>-3528</v>
      </c>
    </row>
    <row r="8" spans="1:104" x14ac:dyDescent="0.25"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5"/>
      <c r="Q8" s="21"/>
      <c r="R8" s="15"/>
      <c r="S8" s="15"/>
      <c r="T8" s="15"/>
      <c r="U8" s="15"/>
      <c r="V8" s="17"/>
      <c r="W8" s="17"/>
      <c r="X8" s="17"/>
      <c r="Y8" s="17"/>
      <c r="Z8" s="15"/>
      <c r="AA8" s="17"/>
      <c r="AB8" s="17"/>
      <c r="AC8" s="17"/>
      <c r="AD8" s="17"/>
      <c r="AE8" s="17"/>
      <c r="AF8" s="14"/>
      <c r="AG8" s="16"/>
      <c r="AH8" s="1"/>
      <c r="AI8" s="1"/>
      <c r="AK8" s="37"/>
    </row>
    <row r="9" spans="1:104" x14ac:dyDescent="0.25">
      <c r="A9" s="36" t="s">
        <v>35</v>
      </c>
      <c r="D9" s="1" t="s">
        <v>36</v>
      </c>
      <c r="E9" s="25">
        <f>135440.58-60129.91-22537.5-25554</f>
        <v>27219.169999999984</v>
      </c>
      <c r="F9" s="25">
        <f>133657.88-59937.91-22387.5-25401</f>
        <v>25931.47</v>
      </c>
      <c r="G9" s="25">
        <f>126840.28-59745.91-22362.5-19677</f>
        <v>25054.869999999995</v>
      </c>
      <c r="H9" s="25">
        <f>123744.26-59345.91-22262.5-19377</f>
        <v>22758.849999999991</v>
      </c>
      <c r="I9" s="25">
        <f>96019.13-46916.5-10512.5-19377</f>
        <v>19213.130000000005</v>
      </c>
      <c r="J9" s="25">
        <f>93685.95-46596.5-10512.5-19377</f>
        <v>17199.949999999997</v>
      </c>
      <c r="K9" s="25">
        <f>87917.28-42980.5-10512.5-19377</f>
        <v>15047.279999999999</v>
      </c>
      <c r="L9" s="25">
        <f>85737.49-42756.5-10362.5-19377</f>
        <v>13241.490000000005</v>
      </c>
      <c r="M9" s="25">
        <f>82602.49-40579.33-10362.5-20038</f>
        <v>11622.660000000003</v>
      </c>
      <c r="N9" s="25">
        <f>64948.22-40195.33-10362.5-6194</f>
        <v>8196.39</v>
      </c>
      <c r="O9" s="25">
        <f>56574.79-40065.83-10362.5-0</f>
        <v>6146.4599999999991</v>
      </c>
      <c r="P9" s="45">
        <f>53110.31-39662.17-10212.5-0</f>
        <v>3235.6399999999994</v>
      </c>
      <c r="Q9" s="46">
        <f>140839.18-61188.17-22112.5-17209.5</f>
        <v>40329.009999999995</v>
      </c>
      <c r="R9" s="45">
        <f>135643.29-59956.17-21925-16803.5</f>
        <v>36958.62000000001</v>
      </c>
      <c r="S9" s="45">
        <f>129605.21-59860.17-21925-13399.5</f>
        <v>34420.540000000008</v>
      </c>
      <c r="T9" s="45">
        <f>120415.64-59284.17-21787.5-12949.5</f>
        <v>26394.47</v>
      </c>
      <c r="U9" s="45">
        <f>113827.9-58674.67-21437.5-12949.5</f>
        <v>20766.229999999996</v>
      </c>
      <c r="V9" s="45">
        <f>109455.3-57938.67-21212.5-12949.5</f>
        <v>17354.630000000005</v>
      </c>
      <c r="W9" s="45">
        <f>104933.41-56738.67-20262.5-12949.5</f>
        <v>14982.740000000005</v>
      </c>
      <c r="X9" s="45">
        <f>101048.75-55378.67-19662.5-12949.5</f>
        <v>13058.080000000002</v>
      </c>
      <c r="Y9" s="45">
        <f>95806.56-54098.67-18887.5-13014</f>
        <v>9806.39</v>
      </c>
      <c r="Z9" s="45">
        <f>81144.43-52498.67-18150-2073</f>
        <v>8422.7599999999948</v>
      </c>
      <c r="AA9" s="45">
        <f>69786.97-48718.17-16912.5-0</f>
        <v>4156.3000000000029</v>
      </c>
      <c r="AB9" s="45">
        <f>55961.81-42379.83-11800-0</f>
        <v>1781.9799999999959</v>
      </c>
      <c r="AC9" s="45">
        <f>138799.03-64867.67-21912.5-17986</f>
        <v>34032.86</v>
      </c>
      <c r="AD9" s="45">
        <f>133534.81-64755.67-21537.5-16564</f>
        <v>30677.64</v>
      </c>
      <c r="AE9" s="45">
        <f>126103.4-64323.67-21412.5-11643</f>
        <v>28724.229999999996</v>
      </c>
      <c r="AF9" s="45">
        <f>118942.92-63907.67-21262.5-10851</f>
        <v>22921.75</v>
      </c>
      <c r="AG9" s="45">
        <f>112645.56-63250.17-21062.5-10851</f>
        <v>17481.89</v>
      </c>
      <c r="AH9" s="25">
        <f>105714.78-61650.17-20562.5-10851</f>
        <v>12651.11</v>
      </c>
      <c r="AI9" s="25">
        <f>(101207.39-59922.17-20000-10851)</f>
        <v>10434.220000000001</v>
      </c>
      <c r="AJ9" s="25">
        <f>(96736.21-58194.17-18837.5-10851)</f>
        <v>8853.5400000000081</v>
      </c>
      <c r="AK9" s="47">
        <f>(90616.76-55874.17-18237.5 -9511)</f>
        <v>6994.0899999999965</v>
      </c>
      <c r="AL9" s="25">
        <f>(85270.86-52956.17-17575-9298)</f>
        <v>5441.6900000000023</v>
      </c>
      <c r="AM9" s="25">
        <f>(78275.58-49836.17-16250-8497)</f>
        <v>3692.4100000000035</v>
      </c>
      <c r="AN9" s="25">
        <f>(67368.02-45912.67-14975-3559)</f>
        <v>2921.3500000000058</v>
      </c>
      <c r="AO9" s="25">
        <f>(137306.14-67877.92-20200-30214)</f>
        <v>19014.220000000016</v>
      </c>
      <c r="AP9" s="25">
        <f>(136448.28-67877.92-20200-30114)</f>
        <v>18256.36</v>
      </c>
      <c r="AQ9" s="25">
        <f>(134507.89-67669.92-20125-30114)</f>
        <v>16598.970000000016</v>
      </c>
      <c r="AR9" s="25">
        <f>(132419.84-67269.92-20000-30114)</f>
        <v>15035.919999999998</v>
      </c>
      <c r="AS9" s="25">
        <f>(130087.57-66753.17-19687.5-30114)</f>
        <v>13532.900000000009</v>
      </c>
      <c r="AT9" s="25">
        <f>(127052.36-65745.17-19381.63-30114)</f>
        <v>11811.559999999998</v>
      </c>
      <c r="AU9" s="25">
        <f>(123915.64-30114-18875-64465.17)</f>
        <v>10461.470000000001</v>
      </c>
      <c r="AV9" s="25">
        <f>(119400.68-30114-17675-62689.17)</f>
        <v>8922.5099999999948</v>
      </c>
      <c r="AW9" s="25">
        <f>(115089.98-30114-16637.5-60369.17)</f>
        <v>7969.3099999999977</v>
      </c>
      <c r="AX9" s="25">
        <f>(104401.99-24697-15950-57627.17)</f>
        <v>6127.820000000007</v>
      </c>
      <c r="AY9" s="25">
        <f>(77385.8-5317-14845.47-52892.33)</f>
        <v>4331</v>
      </c>
      <c r="AZ9" s="25">
        <f>(62340.33-13675-46824.33)</f>
        <v>1841</v>
      </c>
      <c r="BA9" s="25">
        <f>(154801.49-68573.91-39133-19800)</f>
        <v>27294.579999999987</v>
      </c>
      <c r="BB9" s="25">
        <f>(153315.22-68538.91-39133-19950)</f>
        <v>25693.309999999998</v>
      </c>
      <c r="BC9" s="25">
        <f>(151296.12-68272.91-39133-19762.5)</f>
        <v>24127.709999999992</v>
      </c>
      <c r="BD9" s="25">
        <f>(147112.31-67824.91-39133-19550)</f>
        <v>20604.399999999994</v>
      </c>
      <c r="BE9" s="25">
        <f>(142407.77-39133-66893.91-19387.5)</f>
        <v>16993.359999999986</v>
      </c>
      <c r="BF9" s="25">
        <f>(139856.59-39133-66263.91-19062.5)</f>
        <v>15397.179999999993</v>
      </c>
      <c r="BG9" s="25">
        <f>(136007.43-39133-64842.16-18587.5)</f>
        <v>13444.76999999999</v>
      </c>
      <c r="BH9" s="25">
        <f>(131771.28-63099-39133-17437.5)</f>
        <v>12101.779999999999</v>
      </c>
      <c r="BI9" s="25">
        <f>(125494.11-39091-60656.16-16737.5)</f>
        <v>9009.4499999999971</v>
      </c>
      <c r="BJ9" s="25">
        <f>(111292.57-57086.5-15950-31766)</f>
        <v>6490.070000000007</v>
      </c>
      <c r="BK9" s="25">
        <f>(80242.26-8204-15400-52420.59)</f>
        <v>4217.6699999999983</v>
      </c>
      <c r="BL9" s="25">
        <f>(64009.71-13787.5-47447.59)</f>
        <v>2774.6200000000026</v>
      </c>
      <c r="BM9" s="8">
        <v>31472.04</v>
      </c>
      <c r="BN9" s="8">
        <v>30311.14</v>
      </c>
      <c r="BO9" s="8">
        <v>28557.37</v>
      </c>
      <c r="BP9" s="8">
        <v>27103.56</v>
      </c>
      <c r="BQ9" s="8">
        <v>24629.8</v>
      </c>
      <c r="BR9" s="48">
        <f>152288.03-70003.48-19432.5-39847</f>
        <v>23005.050000000003</v>
      </c>
      <c r="BS9" s="48">
        <f>147875.59-39847-68561.48-18545</f>
        <v>20922.11</v>
      </c>
      <c r="BT9" s="48">
        <f>137852.19-67063.48-17420-36040</f>
        <v>17328.710000000006</v>
      </c>
      <c r="BU9" s="48">
        <f>127375.56-29573-65297.23-17057.5</f>
        <v>15447.829999999994</v>
      </c>
      <c r="BV9" s="48">
        <f>100592.34-62570.56-16307.5-8244</f>
        <v>13470.279999999999</v>
      </c>
      <c r="BW9" s="48">
        <f>80791.57-56664.15-15745</f>
        <v>8382.4200000000055</v>
      </c>
      <c r="BX9" s="48">
        <f>70654.5-14395-50670.65</f>
        <v>5588.8499999999985</v>
      </c>
      <c r="BY9" s="48">
        <f>186541.69-50742-73758.84-21200</f>
        <v>40840.850000000006</v>
      </c>
      <c r="BZ9" s="48">
        <f>179593.44-50742-73555.84-21187.5</f>
        <v>34108.100000000006</v>
      </c>
      <c r="CA9" s="48">
        <f>168214.77-73037.84-21062.5-50742</f>
        <v>23372.429999999993</v>
      </c>
      <c r="CB9" s="48">
        <f>165275.02-50742-72421.84-20762.5</f>
        <v>21348.679999999993</v>
      </c>
      <c r="CC9" s="48">
        <f>161997.84-50677-20625-71189.84</f>
        <v>19506</v>
      </c>
      <c r="CD9" s="48">
        <f>158489.58-50677-69999.84-19787.5</f>
        <v>18025.239999999991</v>
      </c>
      <c r="CE9" s="48">
        <f>152773.52-18587.5-68899.94-49811</f>
        <v>15475.079999999987</v>
      </c>
      <c r="CF9" s="48">
        <f>142850.75-43480-66953.84-18050</f>
        <v>14366.910000000003</v>
      </c>
      <c r="CG9" s="48">
        <f>117858.96-25433-64007.84-17262.5</f>
        <v>11155.62000000001</v>
      </c>
      <c r="CH9" s="48">
        <f>103380.46-19355-60530.17-16575</f>
        <v>6920.2900000000081</v>
      </c>
      <c r="CI9" s="48">
        <f>91409.49-17515-53484.25-14875</f>
        <v>5535.2400000000052</v>
      </c>
      <c r="CZ9" s="1" t="s">
        <v>37</v>
      </c>
    </row>
    <row r="10" spans="1:104" x14ac:dyDescent="0.25">
      <c r="A10" s="36" t="s">
        <v>38</v>
      </c>
      <c r="D10" s="1" t="s">
        <v>39</v>
      </c>
      <c r="E10" s="26">
        <f>(165901-74055-20000-46731)/12*12</f>
        <v>25115</v>
      </c>
      <c r="F10" s="26">
        <f>(165901-74055-20000-46731)/12*11</f>
        <v>23022.083333333332</v>
      </c>
      <c r="G10" s="26">
        <f>(165901-74055-20000-46731)/12*10</f>
        <v>20929.166666666664</v>
      </c>
      <c r="H10" s="26">
        <f>(165901-74055-20000-46731)/12*9</f>
        <v>18836.25</v>
      </c>
      <c r="I10" s="26">
        <f>(165901-74055-20000-46731)/12*8</f>
        <v>16743.333333333332</v>
      </c>
      <c r="J10" s="26">
        <f>(165901-74055-20000-46731)/12*7</f>
        <v>14650.416666666666</v>
      </c>
      <c r="K10" s="26">
        <f>(165901-74055-20000-46731)/12*6</f>
        <v>12557.5</v>
      </c>
      <c r="L10" s="26">
        <f>(165901-74055-20000-46731)/12*5</f>
        <v>10464.583333333332</v>
      </c>
      <c r="M10" s="26">
        <f>(165901-74055-20000-46731)/12*4</f>
        <v>8371.6666666666661</v>
      </c>
      <c r="N10" s="26">
        <f>(165901-74055-20000-46731)/12*3</f>
        <v>6278.75</v>
      </c>
      <c r="O10" s="26">
        <f>(165901-74055-20000-46731)/12*2</f>
        <v>4185.833333333333</v>
      </c>
      <c r="P10" s="50">
        <f>(165901-74055-20000-46731)/12*1</f>
        <v>2092.9166666666665</v>
      </c>
      <c r="Q10" s="51">
        <f>(165901-74055-20000-46731)/12*12</f>
        <v>25115</v>
      </c>
      <c r="R10" s="50">
        <f>(165901-74055-20000-46731)/12*11</f>
        <v>23022.083333333332</v>
      </c>
      <c r="S10" s="50">
        <f>(165901-74055-20000-46731)/12*10</f>
        <v>20929.166666666664</v>
      </c>
      <c r="T10" s="50">
        <f>(165901-74055-20000-46731)/12*9</f>
        <v>18836.25</v>
      </c>
      <c r="U10" s="50">
        <f>(165901-74055-20000-46731)/12*8</f>
        <v>16743.333333333332</v>
      </c>
      <c r="V10" s="50">
        <f>(165901-74055-20000-46731)/12*7</f>
        <v>14650.416666666666</v>
      </c>
      <c r="W10" s="50">
        <f>(165901-74055-20000-46731)/12*6</f>
        <v>12557.5</v>
      </c>
      <c r="X10" s="50">
        <f>(165901-74055-20000-46731)/12*5</f>
        <v>10464.583333333332</v>
      </c>
      <c r="Y10" s="50">
        <f>(165901-74055-20000-46731)/12*4</f>
        <v>8371.6666666666661</v>
      </c>
      <c r="Z10" s="50">
        <f>(165901-74055-20000-46731)/12*3</f>
        <v>6278.75</v>
      </c>
      <c r="AA10" s="50">
        <f>(165901-74055-20000-46731)/12*2</f>
        <v>4185.833333333333</v>
      </c>
      <c r="AB10" s="50">
        <f>(165901-74055-20000-46731)/12*1</f>
        <v>2092.9166666666665</v>
      </c>
      <c r="AC10" s="50">
        <f>(165901-74055-20000-46731)/12*12</f>
        <v>25115</v>
      </c>
      <c r="AD10" s="50">
        <f>(165901-74055-20000-46731)/12*11</f>
        <v>23022.083333333332</v>
      </c>
      <c r="AE10" s="50">
        <f>(165901-74055-20000-46731)/12*10</f>
        <v>20929.166666666664</v>
      </c>
      <c r="AF10" s="50">
        <f>(165901-74055-20000-46731)/12*9</f>
        <v>18836.25</v>
      </c>
      <c r="AG10" s="50">
        <f>(165901-74055-20000-46731)/12*8</f>
        <v>16743.333333333332</v>
      </c>
      <c r="AH10" s="26">
        <f>(165901-74055-20000-46731)/12*7</f>
        <v>14650.416666666666</v>
      </c>
      <c r="AI10" s="26">
        <f>(165901-74055-20000-46731)/12*6</f>
        <v>12557.5</v>
      </c>
      <c r="AJ10" s="26">
        <f>(165901-74055-20000-46731)/12*5</f>
        <v>10464.583333333332</v>
      </c>
      <c r="AK10" s="52">
        <f>(165901-74055-20000-46731)/12*4</f>
        <v>8371.6666666666661</v>
      </c>
      <c r="AL10" s="26">
        <f>(165901-74055-20000-46731)/12*3</f>
        <v>6278.75</v>
      </c>
      <c r="AM10" s="26">
        <f>(165901-74055-20000-46731)/12*2</f>
        <v>4185.833333333333</v>
      </c>
      <c r="AN10" s="26">
        <f>(165901-74055-20000-46731)/12*1</f>
        <v>2092.9166666666665</v>
      </c>
      <c r="AO10" s="26">
        <f>(173742-84165-20000-44486)/12*12</f>
        <v>25091</v>
      </c>
      <c r="AP10" s="26">
        <f>(173742-84165-20000-44486)/12*11</f>
        <v>23000.083333333332</v>
      </c>
      <c r="AQ10" s="26">
        <f>(173742-84165-20000-44486)/12*10</f>
        <v>20909.166666666664</v>
      </c>
      <c r="AR10" s="26">
        <f>(173742-84165-20000-44486)/12*9</f>
        <v>18818.25</v>
      </c>
      <c r="AS10" s="26">
        <f>(173742-84165-20000-44486)/12*8</f>
        <v>16727.333333333332</v>
      </c>
      <c r="AT10" s="26">
        <f>(173742-84165-20000-44486)/12*7</f>
        <v>14636.416666666666</v>
      </c>
      <c r="AU10" s="26">
        <f>(173742-84165-20000-44486)/12*6</f>
        <v>12545.5</v>
      </c>
      <c r="AV10" s="26">
        <f>(173742-84165-20000-44486)/12*5</f>
        <v>10454.583333333332</v>
      </c>
      <c r="AW10" s="26">
        <f>(173742-84165-20000-44486)/12*4</f>
        <v>8363.6666666666661</v>
      </c>
      <c r="AX10" s="26">
        <f>(173742-84165-20000-44486)/12*3</f>
        <v>6272.75</v>
      </c>
      <c r="AY10" s="26">
        <f>(173742-84165-20000-44486)/12*2</f>
        <v>4181.833333333333</v>
      </c>
      <c r="AZ10" s="26">
        <f>(173742-84165-20000-44486)/12*1</f>
        <v>2090.9166666666665</v>
      </c>
      <c r="BA10" s="26">
        <f>(161708-73902-42162-20000)/12*12</f>
        <v>25644</v>
      </c>
      <c r="BB10" s="26">
        <f>(161708-73902-42162-20000)/12*11</f>
        <v>23507</v>
      </c>
      <c r="BC10" s="26">
        <f>(161708-73902-42162-20000)/12*10</f>
        <v>21370</v>
      </c>
      <c r="BD10" s="26">
        <f>(161708-73902-42162-20000)/12*9</f>
        <v>19233</v>
      </c>
      <c r="BE10" s="26">
        <f>(161708-73902-42162-20000)/12*8</f>
        <v>17096</v>
      </c>
      <c r="BF10" s="26">
        <f>(161708-73902-42162-20000)/12*7</f>
        <v>14959</v>
      </c>
      <c r="BG10" s="26">
        <f>(161708-73902-42162-20000)/12*6</f>
        <v>12822</v>
      </c>
      <c r="BH10" s="26">
        <f>(161708-73902-42162-20000)/12*5</f>
        <v>10685</v>
      </c>
      <c r="BI10" s="26">
        <f>(161708-73902-42162-20000)/12*4</f>
        <v>8548</v>
      </c>
      <c r="BJ10" s="26">
        <f>(161708-73902-42162-20000)/12*3</f>
        <v>6411</v>
      </c>
      <c r="BK10" s="26">
        <f>(161708-73902-42162-20000)/12*2</f>
        <v>4274</v>
      </c>
      <c r="BL10" s="26">
        <f>(161708-73902-42162-20000)/12*1</f>
        <v>2137</v>
      </c>
      <c r="BM10" s="53">
        <f>(174743-45101-78942-20000)/12*12</f>
        <v>30700</v>
      </c>
      <c r="BN10" s="53">
        <f>(174743-45101-78942-20000)/12*11</f>
        <v>28141.666666666668</v>
      </c>
      <c r="BO10" s="53">
        <f>(174743-45101-78942-20000)/12*10</f>
        <v>25583.333333333336</v>
      </c>
      <c r="BP10" s="53">
        <f>(174743-45101-78942-20000)/12*9</f>
        <v>23025</v>
      </c>
      <c r="BQ10" s="53">
        <f>(174743-45101-78942-20000)/12*8</f>
        <v>20466.666666666668</v>
      </c>
      <c r="BR10" s="48">
        <f>(174743-45101-78942-20000)/12*7</f>
        <v>17908.333333333336</v>
      </c>
      <c r="BS10" s="48">
        <f>(174743-45101-78942-20000)/12*6</f>
        <v>15350</v>
      </c>
      <c r="BT10" s="48">
        <f>(174743-45101-78942-20000)/12*5</f>
        <v>12791.666666666668</v>
      </c>
      <c r="BU10" s="48">
        <f>(174743-45101-78942-20000)/12*4</f>
        <v>10233.333333333334</v>
      </c>
      <c r="BV10" s="48">
        <f>(174743-45101-78942-20000)/12*3</f>
        <v>7675</v>
      </c>
      <c r="BW10" s="48">
        <f>(174743-45101-78942-20000)/12*2</f>
        <v>5116.666666666667</v>
      </c>
      <c r="BX10" s="48">
        <f>(174743-45101-78942-20000)/12</f>
        <v>2558.3333333333335</v>
      </c>
      <c r="BY10" s="48">
        <f>(58217-18000)/12*11</f>
        <v>36865.583333333328</v>
      </c>
      <c r="BZ10" s="48">
        <f>(58217-18000)/12*10</f>
        <v>33514.166666666664</v>
      </c>
      <c r="CA10" s="48">
        <f>(58217-18000)/12*9</f>
        <v>30162.75</v>
      </c>
      <c r="CB10" s="48">
        <f>(58217-18000)/12*8</f>
        <v>26811.333333333332</v>
      </c>
      <c r="CC10" s="48">
        <f>(58217-18000)/12*7</f>
        <v>23459.916666666664</v>
      </c>
      <c r="CD10" s="48">
        <f>(58217-18000)/12*6</f>
        <v>20108.5</v>
      </c>
      <c r="CE10" s="48">
        <f>(58217-18000)/12*5</f>
        <v>16757.083333333332</v>
      </c>
      <c r="CF10" s="48">
        <f>(58217-18000)/12*4</f>
        <v>13405.666666666666</v>
      </c>
      <c r="CG10" s="48">
        <f>(58217-18000)/12*3</f>
        <v>10054.25</v>
      </c>
      <c r="CH10" s="48">
        <f>(58217-18000)/12*2</f>
        <v>6702.833333333333</v>
      </c>
      <c r="CI10" s="48">
        <f>(58217-18000)/12</f>
        <v>3351.4166666666665</v>
      </c>
    </row>
    <row r="11" spans="1:104" x14ac:dyDescent="0.25">
      <c r="D11" s="1" t="s">
        <v>40</v>
      </c>
      <c r="E11" s="24">
        <f t="shared" ref="E11:F11" si="20">+E9-E10</f>
        <v>2104.1699999999837</v>
      </c>
      <c r="F11" s="24">
        <f t="shared" si="20"/>
        <v>2909.386666666669</v>
      </c>
      <c r="G11" s="24">
        <f t="shared" ref="G11:H11" si="21">+G9-G10</f>
        <v>4125.7033333333311</v>
      </c>
      <c r="H11" s="24">
        <f t="shared" si="21"/>
        <v>3922.5999999999913</v>
      </c>
      <c r="I11" s="24">
        <f t="shared" ref="I11:J11" si="22">+I9-I10</f>
        <v>2469.7966666666725</v>
      </c>
      <c r="J11" s="24">
        <f t="shared" si="22"/>
        <v>2549.533333333331</v>
      </c>
      <c r="K11" s="24">
        <f t="shared" ref="K11:L11" si="23">+K9-K10</f>
        <v>2489.7799999999988</v>
      </c>
      <c r="L11" s="24">
        <f t="shared" si="23"/>
        <v>2776.9066666666731</v>
      </c>
      <c r="M11" s="24">
        <f t="shared" ref="M11:N11" si="24">+M9-M10</f>
        <v>3250.9933333333374</v>
      </c>
      <c r="N11" s="24">
        <f t="shared" si="24"/>
        <v>1917.6399999999994</v>
      </c>
      <c r="O11" s="24">
        <f t="shared" ref="O11:P11" si="25">+O9-O10</f>
        <v>1960.6266666666661</v>
      </c>
      <c r="P11" s="24">
        <f t="shared" si="25"/>
        <v>1142.7233333333329</v>
      </c>
      <c r="Q11" s="65">
        <f t="shared" ref="Q11:CB11" si="26">+Q9-Q10</f>
        <v>15214.009999999995</v>
      </c>
      <c r="R11" s="24">
        <f t="shared" si="26"/>
        <v>13936.536666666678</v>
      </c>
      <c r="S11" s="24">
        <f t="shared" si="26"/>
        <v>13491.373333333344</v>
      </c>
      <c r="T11" s="24">
        <f t="shared" si="26"/>
        <v>7558.2200000000012</v>
      </c>
      <c r="U11" s="24">
        <f t="shared" si="26"/>
        <v>4022.8966666666638</v>
      </c>
      <c r="V11" s="24">
        <f t="shared" si="26"/>
        <v>2704.2133333333386</v>
      </c>
      <c r="W11" s="24">
        <f t="shared" si="26"/>
        <v>2425.2400000000052</v>
      </c>
      <c r="X11" s="24">
        <f t="shared" si="26"/>
        <v>2593.4966666666696</v>
      </c>
      <c r="Y11" s="24">
        <f t="shared" si="26"/>
        <v>1434.7233333333334</v>
      </c>
      <c r="Z11" s="24">
        <f t="shared" si="26"/>
        <v>2144.0099999999948</v>
      </c>
      <c r="AA11" s="24">
        <f t="shared" si="26"/>
        <v>-29.53333333333012</v>
      </c>
      <c r="AB11" s="24">
        <f t="shared" si="26"/>
        <v>-310.93666666667059</v>
      </c>
      <c r="AC11" s="24">
        <f t="shared" si="26"/>
        <v>8917.86</v>
      </c>
      <c r="AD11" s="24">
        <f t="shared" si="26"/>
        <v>7655.5566666666673</v>
      </c>
      <c r="AE11" s="24">
        <f t="shared" si="26"/>
        <v>7795.0633333333317</v>
      </c>
      <c r="AF11" s="24">
        <f t="shared" si="26"/>
        <v>4085.5</v>
      </c>
      <c r="AG11" s="24">
        <f t="shared" si="26"/>
        <v>738.5566666666673</v>
      </c>
      <c r="AH11" s="42">
        <f t="shared" si="26"/>
        <v>-1999.3066666666655</v>
      </c>
      <c r="AI11" s="24">
        <f t="shared" si="26"/>
        <v>-2123.2799999999988</v>
      </c>
      <c r="AJ11" s="24">
        <f t="shared" si="26"/>
        <v>-1611.043333333324</v>
      </c>
      <c r="AK11" s="43">
        <f t="shared" si="26"/>
        <v>-1377.5766666666696</v>
      </c>
      <c r="AL11" s="24">
        <f t="shared" si="26"/>
        <v>-837.05999999999767</v>
      </c>
      <c r="AM11" s="24">
        <f t="shared" si="26"/>
        <v>-493.42333333332954</v>
      </c>
      <c r="AN11" s="24">
        <f t="shared" si="26"/>
        <v>828.43333333333931</v>
      </c>
      <c r="AO11" s="24">
        <f t="shared" si="26"/>
        <v>-6076.7799999999843</v>
      </c>
      <c r="AP11" s="24">
        <f t="shared" si="26"/>
        <v>-4743.7233333333315</v>
      </c>
      <c r="AQ11" s="24">
        <f t="shared" si="26"/>
        <v>-4310.1966666666485</v>
      </c>
      <c r="AR11" s="24">
        <f t="shared" si="26"/>
        <v>-3782.3300000000017</v>
      </c>
      <c r="AS11" s="24">
        <f t="shared" si="26"/>
        <v>-3194.4333333333234</v>
      </c>
      <c r="AT11" s="24">
        <f t="shared" si="26"/>
        <v>-2824.8566666666684</v>
      </c>
      <c r="AU11" s="24">
        <f t="shared" si="26"/>
        <v>-2084.0299999999988</v>
      </c>
      <c r="AV11" s="24">
        <f t="shared" si="26"/>
        <v>-1532.0733333333374</v>
      </c>
      <c r="AW11" s="24">
        <f t="shared" si="26"/>
        <v>-394.35666666666839</v>
      </c>
      <c r="AX11" s="24">
        <f t="shared" si="26"/>
        <v>-144.92999999999302</v>
      </c>
      <c r="AY11" s="24">
        <f t="shared" si="26"/>
        <v>149.16666666666697</v>
      </c>
      <c r="AZ11" s="24">
        <f t="shared" si="26"/>
        <v>-249.91666666666652</v>
      </c>
      <c r="BA11" s="24">
        <f t="shared" si="26"/>
        <v>1650.5799999999872</v>
      </c>
      <c r="BB11" s="24">
        <f t="shared" si="26"/>
        <v>2186.3099999999977</v>
      </c>
      <c r="BC11" s="24">
        <f t="shared" si="26"/>
        <v>2757.7099999999919</v>
      </c>
      <c r="BD11" s="24">
        <f t="shared" si="26"/>
        <v>1371.3999999999942</v>
      </c>
      <c r="BE11" s="24">
        <f t="shared" si="26"/>
        <v>-102.64000000001397</v>
      </c>
      <c r="BF11" s="24">
        <f t="shared" si="26"/>
        <v>438.17999999999302</v>
      </c>
      <c r="BG11" s="24">
        <f t="shared" si="26"/>
        <v>622.76999999998952</v>
      </c>
      <c r="BH11" s="24">
        <f t="shared" si="26"/>
        <v>1416.7799999999988</v>
      </c>
      <c r="BI11" s="24">
        <f t="shared" si="26"/>
        <v>461.44999999999709</v>
      </c>
      <c r="BJ11" s="24">
        <f t="shared" si="26"/>
        <v>79.070000000006985</v>
      </c>
      <c r="BK11" s="24">
        <f t="shared" si="26"/>
        <v>-56.330000000001746</v>
      </c>
      <c r="BL11" s="24">
        <f t="shared" si="26"/>
        <v>637.62000000000262</v>
      </c>
      <c r="BM11" s="24">
        <f t="shared" si="26"/>
        <v>772.04000000000087</v>
      </c>
      <c r="BN11" s="24">
        <f t="shared" si="26"/>
        <v>2169.4733333333315</v>
      </c>
      <c r="BO11" s="24">
        <f t="shared" si="26"/>
        <v>2974.0366666666632</v>
      </c>
      <c r="BP11" s="24">
        <f t="shared" si="26"/>
        <v>4078.5600000000013</v>
      </c>
      <c r="BQ11" s="24">
        <f t="shared" si="26"/>
        <v>4163.1333333333314</v>
      </c>
      <c r="BR11" s="24">
        <f t="shared" si="26"/>
        <v>5096.7166666666672</v>
      </c>
      <c r="BS11" s="24">
        <f t="shared" si="26"/>
        <v>5572.1100000000006</v>
      </c>
      <c r="BT11" s="24">
        <f t="shared" si="26"/>
        <v>4537.0433333333385</v>
      </c>
      <c r="BU11" s="24">
        <f t="shared" si="26"/>
        <v>5214.4966666666605</v>
      </c>
      <c r="BV11" s="24">
        <f t="shared" si="26"/>
        <v>5795.2799999999988</v>
      </c>
      <c r="BW11" s="24">
        <f t="shared" si="26"/>
        <v>3265.7533333333386</v>
      </c>
      <c r="BX11" s="24">
        <f t="shared" si="26"/>
        <v>3030.5166666666651</v>
      </c>
      <c r="BY11" s="24">
        <f t="shared" si="26"/>
        <v>3975.2666666666773</v>
      </c>
      <c r="BZ11" s="24">
        <f t="shared" si="26"/>
        <v>593.93333333334158</v>
      </c>
      <c r="CA11" s="24">
        <f t="shared" si="26"/>
        <v>-6790.320000000007</v>
      </c>
      <c r="CB11" s="24">
        <f t="shared" si="26"/>
        <v>-5462.6533333333391</v>
      </c>
      <c r="CC11" s="24">
        <f t="shared" ref="CC11:CI11" si="27">+CC9-CC10</f>
        <v>-3953.9166666666642</v>
      </c>
      <c r="CD11" s="24">
        <f t="shared" si="27"/>
        <v>-2083.2600000000093</v>
      </c>
      <c r="CE11" s="24">
        <f t="shared" si="27"/>
        <v>-1282.0033333333449</v>
      </c>
      <c r="CF11" s="24">
        <f t="shared" si="27"/>
        <v>961.24333333333743</v>
      </c>
      <c r="CG11" s="24">
        <f t="shared" si="27"/>
        <v>1101.3700000000099</v>
      </c>
      <c r="CH11" s="24">
        <f t="shared" si="27"/>
        <v>217.45666666667512</v>
      </c>
      <c r="CI11" s="24">
        <f t="shared" si="27"/>
        <v>2183.8233333333387</v>
      </c>
    </row>
    <row r="12" spans="1:104" x14ac:dyDescent="0.25"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5"/>
      <c r="Q12" s="21"/>
      <c r="R12" s="15"/>
      <c r="S12" s="15"/>
      <c r="T12" s="15"/>
      <c r="U12" s="15"/>
      <c r="V12" s="17"/>
      <c r="W12" s="17"/>
      <c r="X12" s="17"/>
      <c r="Y12" s="17"/>
      <c r="Z12" s="15"/>
      <c r="AA12" s="17"/>
      <c r="AB12" s="17"/>
      <c r="AC12" s="17"/>
      <c r="AD12" s="17"/>
      <c r="AE12" s="17"/>
      <c r="AF12" s="14"/>
      <c r="AG12" s="16"/>
      <c r="AH12" s="1"/>
      <c r="AI12" s="1"/>
      <c r="AK12" s="37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</row>
    <row r="13" spans="1:104" x14ac:dyDescent="0.25">
      <c r="A13" s="36" t="s">
        <v>41</v>
      </c>
      <c r="D13" s="1" t="s">
        <v>42</v>
      </c>
      <c r="E13" s="26">
        <f>135917.55-2608.16</f>
        <v>133309.38999999998</v>
      </c>
      <c r="F13" s="26">
        <f>121770.16-2603.07</f>
        <v>119167.09</v>
      </c>
      <c r="G13" s="26">
        <f>111226.59-2445.28</f>
        <v>108781.31</v>
      </c>
      <c r="H13" s="26">
        <f>101959.45-2436.03</f>
        <v>99523.42</v>
      </c>
      <c r="I13" s="26">
        <f>92882.53-2436.03</f>
        <v>90446.5</v>
      </c>
      <c r="J13" s="26">
        <f>82875.44-2436.03</f>
        <v>80439.41</v>
      </c>
      <c r="K13" s="26">
        <f>71908.83-2436.03</f>
        <v>69472.800000000003</v>
      </c>
      <c r="L13" s="26">
        <f>57597.1-2436.03</f>
        <v>55161.07</v>
      </c>
      <c r="M13" s="26">
        <f>46692.66-705.85</f>
        <v>45986.810000000005</v>
      </c>
      <c r="N13" s="26">
        <f>35614.51-366.52</f>
        <v>35247.990000000005</v>
      </c>
      <c r="O13" s="26">
        <f>22673.85-220.91</f>
        <v>22452.94</v>
      </c>
      <c r="P13" s="50">
        <f>12879.58-220.91</f>
        <v>12658.67</v>
      </c>
      <c r="Q13" s="51">
        <f>131454.02-874.11</f>
        <v>130579.90999999999</v>
      </c>
      <c r="R13" s="50">
        <f>114923.15-863.93</f>
        <v>114059.22</v>
      </c>
      <c r="S13" s="50">
        <f>105638.28-763.26</f>
        <v>104875.02</v>
      </c>
      <c r="T13" s="50">
        <f>96459.87-635.3</f>
        <v>95824.569999999992</v>
      </c>
      <c r="U13" s="50">
        <f>84954.66-635.3</f>
        <v>84319.360000000001</v>
      </c>
      <c r="V13" s="50">
        <f>74219.02-635.3</f>
        <v>73583.72</v>
      </c>
      <c r="W13" s="50">
        <f>65001.11-635.3</f>
        <v>64365.81</v>
      </c>
      <c r="X13" s="50">
        <f>53309.84-635.3</f>
        <v>52674.539999999994</v>
      </c>
      <c r="Y13" s="50">
        <f>43246.5-333.8</f>
        <v>42912.7</v>
      </c>
      <c r="Z13" s="50">
        <f>35416.66-20.12</f>
        <v>35396.54</v>
      </c>
      <c r="AA13" s="50">
        <f>22229.83-0</f>
        <v>22229.83</v>
      </c>
      <c r="AB13" s="50">
        <f>12564.2-0</f>
        <v>12564.2</v>
      </c>
      <c r="AC13" s="50">
        <f>123238.69-1297.46</f>
        <v>121941.23</v>
      </c>
      <c r="AD13" s="50">
        <f>111121.5-978.17</f>
        <v>110143.33</v>
      </c>
      <c r="AE13" s="50">
        <f>100976.77-959.48</f>
        <v>100017.29000000001</v>
      </c>
      <c r="AF13" s="50">
        <f>90910.31-936.27</f>
        <v>89974.04</v>
      </c>
      <c r="AG13" s="50">
        <f>78947.58-936.27</f>
        <v>78011.31</v>
      </c>
      <c r="AH13" s="26">
        <f>70294.56-936.27</f>
        <v>69358.289999999994</v>
      </c>
      <c r="AI13" s="26">
        <f>(58593.37-936.27)</f>
        <v>57657.100000000006</v>
      </c>
      <c r="AJ13" s="26">
        <f>(48997.75-873.18)</f>
        <v>48124.57</v>
      </c>
      <c r="AK13" s="52">
        <f>(40021.33-869.18)</f>
        <v>39152.15</v>
      </c>
      <c r="AL13" s="26">
        <f>(30611.09-697.96)</f>
        <v>29913.13</v>
      </c>
      <c r="AM13" s="26">
        <f>(20217.68-697.96)</f>
        <v>19519.72</v>
      </c>
      <c r="AN13" s="26">
        <f>(11012.82-697.96)</f>
        <v>10314.86</v>
      </c>
      <c r="AO13" s="26">
        <f>(150305.91-28054.87)</f>
        <v>122251.04000000001</v>
      </c>
      <c r="AP13" s="26">
        <f>(138221.17-28054.87)</f>
        <v>110166.30000000002</v>
      </c>
      <c r="AQ13" s="26">
        <f>(128034.77-28054.87)</f>
        <v>99979.900000000009</v>
      </c>
      <c r="AR13" s="26">
        <f>(118919.15-28054.87)</f>
        <v>90864.28</v>
      </c>
      <c r="AS13" s="26">
        <f>(108842.82-28054.87)</f>
        <v>80787.950000000012</v>
      </c>
      <c r="AT13" s="26">
        <f>(99979.98-28054.87)</f>
        <v>71925.11</v>
      </c>
      <c r="AU13" s="26">
        <f>(86616.98-28054.87)</f>
        <v>58562.11</v>
      </c>
      <c r="AV13" s="26">
        <f>(77238.59-27981.04)</f>
        <v>49257.549999999996</v>
      </c>
      <c r="AW13" s="26">
        <f>(51279.97-11709.7)</f>
        <v>39570.270000000004</v>
      </c>
      <c r="AX13" s="26">
        <f>(30585.44-1135.78)</f>
        <v>29449.66</v>
      </c>
      <c r="AY13" s="26">
        <f>(21028.39-150)</f>
        <v>20878.39</v>
      </c>
      <c r="AZ13" s="9">
        <v>11098.15</v>
      </c>
      <c r="BA13" s="26">
        <f>(135067.49-23755.84)</f>
        <v>111311.65</v>
      </c>
      <c r="BB13" s="26">
        <f>(125182.71-23755.84)</f>
        <v>101426.87000000001</v>
      </c>
      <c r="BC13" s="26">
        <f>(116596.59-23755.84)</f>
        <v>92840.75</v>
      </c>
      <c r="BD13" s="26">
        <f>(106649.09-23755.84)</f>
        <v>82893.25</v>
      </c>
      <c r="BE13" s="26">
        <f>(96846.84-23755.84)</f>
        <v>73091</v>
      </c>
      <c r="BF13" s="26">
        <f>(88425.34-23755.84)</f>
        <v>64669.5</v>
      </c>
      <c r="BG13" s="26">
        <f>(77233.86-23755.84)</f>
        <v>53478.020000000004</v>
      </c>
      <c r="BH13" s="26">
        <f>(53834.91-8057.02)</f>
        <v>45777.89</v>
      </c>
      <c r="BI13" s="26">
        <f>(44391.49-7344.94)</f>
        <v>37046.549999999996</v>
      </c>
      <c r="BJ13" s="26">
        <f>(27338.65-1526.32)</f>
        <v>25812.33</v>
      </c>
      <c r="BK13" s="26">
        <f>(19258.71-1288.57)</f>
        <v>17970.14</v>
      </c>
      <c r="BL13" s="26">
        <f>(10649.99-506.65)</f>
        <v>10143.34</v>
      </c>
      <c r="BM13" s="10">
        <v>115540.4</v>
      </c>
      <c r="BN13" s="10">
        <v>104659.05</v>
      </c>
      <c r="BO13" s="10">
        <v>95877.11</v>
      </c>
      <c r="BP13" s="10">
        <v>86530.68</v>
      </c>
      <c r="BQ13" s="10">
        <v>78335.34</v>
      </c>
      <c r="BR13" s="48">
        <f>98543.87-28573.11</f>
        <v>69970.759999999995</v>
      </c>
      <c r="BS13" s="48">
        <f>68115.97-9005.62</f>
        <v>59110.35</v>
      </c>
      <c r="BT13" s="48">
        <f>51337.23-2013.16</f>
        <v>49324.07</v>
      </c>
      <c r="BU13" s="48">
        <f>41173.06-1105.92</f>
        <v>40067.14</v>
      </c>
      <c r="BV13" s="48">
        <f>31849.6-797.94</f>
        <v>31051.66</v>
      </c>
      <c r="BW13" s="48">
        <f>21770.23-197.94</f>
        <v>21572.29</v>
      </c>
      <c r="BX13" s="48">
        <f>13700.23-197.94</f>
        <v>13502.289999999999</v>
      </c>
      <c r="BY13" s="48">
        <f>141771.38-37905.51</f>
        <v>103865.87</v>
      </c>
      <c r="BZ13" s="48">
        <f>131940.21-37617.8</f>
        <v>94322.409999999989</v>
      </c>
      <c r="CA13" s="48">
        <f>123167.82-36987</f>
        <v>86180.82</v>
      </c>
      <c r="CB13" s="48">
        <f>115581.16-36987</f>
        <v>78594.16</v>
      </c>
      <c r="CC13" s="48">
        <f>100991.76-36987</f>
        <v>64004.759999999995</v>
      </c>
      <c r="CD13" s="48">
        <f>89873.8-35301.79</f>
        <v>54572.01</v>
      </c>
      <c r="CE13" s="48">
        <f>57686.79-10566.83</f>
        <v>47119.96</v>
      </c>
      <c r="CF13" s="48">
        <f>46573.23-7698.84</f>
        <v>38874.39</v>
      </c>
      <c r="CG13" s="48">
        <f>35702.89-6835.98</f>
        <v>28866.91</v>
      </c>
      <c r="CH13" s="48">
        <f>15509.91-392.48</f>
        <v>15117.43</v>
      </c>
      <c r="CI13" s="48">
        <f>9727.03-198.3</f>
        <v>9528.7300000000014</v>
      </c>
      <c r="CJ13" s="48">
        <f>165283.61-55089.91</f>
        <v>110193.69999999998</v>
      </c>
      <c r="CK13" s="48">
        <f>154985.88-55089.91</f>
        <v>99895.97</v>
      </c>
      <c r="CL13" s="48">
        <f>147908.73-55089.91</f>
        <v>92818.82</v>
      </c>
      <c r="CM13" s="48">
        <f>137385.94-53318.11</f>
        <v>84067.83</v>
      </c>
      <c r="CN13" s="48">
        <f>129017.7-53318.11</f>
        <v>75699.59</v>
      </c>
      <c r="CO13" s="48">
        <f>120422.8-53318.11</f>
        <v>67104.69</v>
      </c>
      <c r="CP13" s="48">
        <f>110494.93-53318.11</f>
        <v>57176.819999999992</v>
      </c>
      <c r="CQ13" s="48">
        <f>102406.75-52731.61</f>
        <v>49675.14</v>
      </c>
      <c r="CR13" s="48">
        <f>56305.75-17474.25</f>
        <v>38831.5</v>
      </c>
      <c r="CS13" s="48">
        <f>29627.71-1697.38</f>
        <v>27930.329999999998</v>
      </c>
      <c r="CT13" s="48">
        <f>19782.49-632.98</f>
        <v>19149.510000000002</v>
      </c>
      <c r="CU13" s="48">
        <f>9721.86-132.98</f>
        <v>9588.880000000001</v>
      </c>
    </row>
    <row r="14" spans="1:104" x14ac:dyDescent="0.25">
      <c r="A14" s="36" t="s">
        <v>38</v>
      </c>
      <c r="D14" s="1" t="s">
        <v>43</v>
      </c>
      <c r="E14" s="26">
        <f>+(165347-31090)/12*12</f>
        <v>134257</v>
      </c>
      <c r="F14" s="26">
        <f>+(165347-31090)/12*11</f>
        <v>123068.91666666667</v>
      </c>
      <c r="G14" s="26">
        <f>+(165347-31090)/12*10</f>
        <v>111880.83333333334</v>
      </c>
      <c r="H14" s="26">
        <f>+(165347-31090)/12*9</f>
        <v>100692.75</v>
      </c>
      <c r="I14" s="26">
        <f>+(165347-31090)/12*8</f>
        <v>89504.666666666672</v>
      </c>
      <c r="J14" s="26">
        <f>+(165347-31090)/12*7</f>
        <v>78316.583333333343</v>
      </c>
      <c r="K14" s="26">
        <f>+(165347-31090)/12*6</f>
        <v>67128.5</v>
      </c>
      <c r="L14" s="26">
        <f>+(165347-31090)/12*5</f>
        <v>55940.416666666672</v>
      </c>
      <c r="M14" s="26">
        <f>+(165347-31090)/12*4</f>
        <v>44752.333333333336</v>
      </c>
      <c r="N14" s="26">
        <f>+(165347-31090)/12*3</f>
        <v>33564.25</v>
      </c>
      <c r="O14" s="26">
        <f>+(165347-31090)/12*2</f>
        <v>22376.166666666668</v>
      </c>
      <c r="P14" s="50">
        <f>+(165347-31090)/12*1</f>
        <v>11188.083333333334</v>
      </c>
      <c r="Q14" s="51">
        <f>+(165347-31090)/12*12</f>
        <v>134257</v>
      </c>
      <c r="R14" s="50">
        <f>+(165347-31090)/12*11</f>
        <v>123068.91666666667</v>
      </c>
      <c r="S14" s="50">
        <f>+(165347-31090)/12*10</f>
        <v>111880.83333333334</v>
      </c>
      <c r="T14" s="50">
        <f>+(165347-31090)/12*9</f>
        <v>100692.75</v>
      </c>
      <c r="U14" s="50">
        <f>+(165347-31090)/12*8</f>
        <v>89504.666666666672</v>
      </c>
      <c r="V14" s="50">
        <f>+(165347-31090)/12*7</f>
        <v>78316.583333333343</v>
      </c>
      <c r="W14" s="50">
        <f>+(165347-31090)/12*6</f>
        <v>67128.5</v>
      </c>
      <c r="X14" s="50">
        <f>+(165347-31090)/12*5</f>
        <v>55940.416666666672</v>
      </c>
      <c r="Y14" s="50">
        <f>+(165347-31090)/12*4</f>
        <v>44752.333333333336</v>
      </c>
      <c r="Z14" s="50">
        <f>+(165347-31090)/12*3</f>
        <v>33564.25</v>
      </c>
      <c r="AA14" s="50">
        <f>+(165347-31090)/12*2</f>
        <v>22376.166666666668</v>
      </c>
      <c r="AB14" s="50">
        <f>+(165347-31090)/12*1</f>
        <v>11188.083333333334</v>
      </c>
      <c r="AC14" s="50">
        <f>+(165347-31090)/12*12</f>
        <v>134257</v>
      </c>
      <c r="AD14" s="50">
        <f>+(165347-31090)/12*11</f>
        <v>123068.91666666667</v>
      </c>
      <c r="AE14" s="50">
        <f>+(165347-31090)/12*10</f>
        <v>111880.83333333334</v>
      </c>
      <c r="AF14" s="50">
        <f>+(165347-31090)/12*9</f>
        <v>100692.75</v>
      </c>
      <c r="AG14" s="50">
        <f>+(165347-31090)/12*8</f>
        <v>89504.666666666672</v>
      </c>
      <c r="AH14" s="26">
        <f>+(165347-31090)/12*7</f>
        <v>78316.583333333343</v>
      </c>
      <c r="AI14" s="26">
        <f>+(165347-31090)/12*6</f>
        <v>67128.5</v>
      </c>
      <c r="AJ14" s="26">
        <f>+(165347-31090)/12*5</f>
        <v>55940.416666666672</v>
      </c>
      <c r="AK14" s="52">
        <f>+(165347-31090)/12*4</f>
        <v>44752.333333333336</v>
      </c>
      <c r="AL14" s="26">
        <f>+(165347-31090)/12*3</f>
        <v>33564.25</v>
      </c>
      <c r="AM14" s="26">
        <f>+(165347-31090)/12*2</f>
        <v>22376.166666666668</v>
      </c>
      <c r="AN14" s="26">
        <f>+(165347-31090)/12*1</f>
        <v>11188.083333333334</v>
      </c>
      <c r="AO14" s="26">
        <f>+(173675-38900)/12*12</f>
        <v>134775</v>
      </c>
      <c r="AP14" s="26">
        <f>+(173675-38900)/12*11</f>
        <v>123543.75</v>
      </c>
      <c r="AQ14" s="26">
        <f>+(173675-38900)/12*10</f>
        <v>112312.5</v>
      </c>
      <c r="AR14" s="26">
        <f>+(173675-38900)/12*9</f>
        <v>101081.25</v>
      </c>
      <c r="AS14" s="26">
        <f>+(173675-38900)/12*8</f>
        <v>89850</v>
      </c>
      <c r="AT14" s="26">
        <f>+(173675-38900)/12*7</f>
        <v>78618.75</v>
      </c>
      <c r="AU14" s="26">
        <f>+(173675-38900)/12*6</f>
        <v>67387.5</v>
      </c>
      <c r="AV14" s="26">
        <f>+(173675-38900)/12*5</f>
        <v>56156.25</v>
      </c>
      <c r="AW14" s="26">
        <f>+(173675-38900)/12*4</f>
        <v>44925</v>
      </c>
      <c r="AX14" s="26">
        <f>+(173675-38900)/12*3</f>
        <v>33693.75</v>
      </c>
      <c r="AY14" s="26">
        <f>+(173675-38900)/12*2</f>
        <v>22462.5</v>
      </c>
      <c r="AZ14" s="26">
        <f>+(173675-38900)/12*1</f>
        <v>11231.25</v>
      </c>
      <c r="BA14" s="26">
        <f>+(158897-34415)/12*12</f>
        <v>124482</v>
      </c>
      <c r="BB14" s="26">
        <f>+(158897-34415)/12*11</f>
        <v>114108.5</v>
      </c>
      <c r="BC14" s="26">
        <f>+(158897-34415)/12*10</f>
        <v>103735</v>
      </c>
      <c r="BD14" s="26">
        <f>+(158897-34415)/12*9</f>
        <v>93361.5</v>
      </c>
      <c r="BE14" s="26">
        <f>+(158897-34415)/12*8</f>
        <v>82988</v>
      </c>
      <c r="BF14" s="26">
        <f>+(158897-34415)/12*7</f>
        <v>72614.5</v>
      </c>
      <c r="BG14" s="26">
        <f>+(158897-34415)/12*6</f>
        <v>62241</v>
      </c>
      <c r="BH14" s="26">
        <f>+(158897-34415)/12*5</f>
        <v>51867.5</v>
      </c>
      <c r="BI14" s="26">
        <f>+(158897-34415)/12*4</f>
        <v>41494</v>
      </c>
      <c r="BJ14" s="26">
        <f>+(158897-34415)/12*3</f>
        <v>31120.5</v>
      </c>
      <c r="BK14" s="26">
        <f>+(158897-34415)/12*2</f>
        <v>20747</v>
      </c>
      <c r="BL14" s="26">
        <f>+(158897-34415)/12</f>
        <v>10373.5</v>
      </c>
      <c r="BM14" s="48">
        <f>+(169577-41565)/12*12</f>
        <v>128012</v>
      </c>
      <c r="BN14" s="48">
        <f>+(169577-41565)/12*11</f>
        <v>117344.33333333333</v>
      </c>
      <c r="BO14" s="48">
        <f>+(169577-41565)/12*10</f>
        <v>106676.66666666666</v>
      </c>
      <c r="BP14" s="48">
        <f>+(169577-41565)/12*9</f>
        <v>96009</v>
      </c>
      <c r="BQ14" s="48">
        <f>+(169577-41565)/12*8</f>
        <v>85341.333333333328</v>
      </c>
      <c r="BR14" s="48">
        <f>+(169577-41565)/12*7</f>
        <v>74673.666666666657</v>
      </c>
      <c r="BS14" s="48">
        <f>+(169577-41565)/12*6</f>
        <v>64006</v>
      </c>
      <c r="BT14" s="48">
        <f>+(169577-41565)/12*5</f>
        <v>53338.333333333328</v>
      </c>
      <c r="BU14" s="48">
        <f>+(169577-41565)/12*4</f>
        <v>42670.666666666664</v>
      </c>
      <c r="BV14" s="48">
        <f>+(169577-41565)/12*3</f>
        <v>32003</v>
      </c>
      <c r="BW14" s="48">
        <f>+(169577-41565)/12*2</f>
        <v>21335.333333333332</v>
      </c>
      <c r="BX14" s="48">
        <f>+(169577-41565)/12</f>
        <v>10667.666666666666</v>
      </c>
      <c r="BY14" s="48">
        <f>+(171526-40275)/12*11</f>
        <v>120313.41666666667</v>
      </c>
      <c r="BZ14" s="48">
        <f>+(171526-40275)/12*10</f>
        <v>109375.83333333334</v>
      </c>
      <c r="CA14" s="48">
        <f>+(171526-40275)/12*9</f>
        <v>98438.25</v>
      </c>
      <c r="CB14" s="48">
        <f>+(171526-40275)/12*8</f>
        <v>87500.666666666672</v>
      </c>
      <c r="CC14" s="48">
        <f>+(171526-40275)/12*7</f>
        <v>76563.083333333343</v>
      </c>
      <c r="CD14" s="48">
        <f>+(171526-40275)/12*6</f>
        <v>65625.5</v>
      </c>
      <c r="CE14" s="48">
        <f>+(171526-40275)/12*5</f>
        <v>54687.916666666672</v>
      </c>
      <c r="CF14" s="48">
        <f>+(171526-40275)/12*4</f>
        <v>43750.333333333336</v>
      </c>
      <c r="CG14" s="48">
        <f>+(171526-40275)/12*3</f>
        <v>32812.75</v>
      </c>
      <c r="CH14" s="48">
        <f>+(171526-40275)/12*2</f>
        <v>21875.166666666668</v>
      </c>
      <c r="CI14" s="48">
        <f>+(171526-40275)/12</f>
        <v>10937.583333333334</v>
      </c>
      <c r="CJ14" s="48">
        <f>131660/12*12</f>
        <v>131660</v>
      </c>
      <c r="CK14" s="48">
        <f>131660/12*11</f>
        <v>120688.33333333333</v>
      </c>
      <c r="CL14" s="48">
        <f>131660/12*10</f>
        <v>109716.66666666666</v>
      </c>
      <c r="CM14" s="48">
        <f>131660/12*9</f>
        <v>98745</v>
      </c>
      <c r="CN14" s="48">
        <f>131660/12*8</f>
        <v>87773.333333333328</v>
      </c>
      <c r="CO14" s="48">
        <f>131660/12*7</f>
        <v>76801.666666666657</v>
      </c>
      <c r="CP14" s="48">
        <f>131660/12*6</f>
        <v>65830</v>
      </c>
      <c r="CQ14" s="48">
        <f>131660/12*5</f>
        <v>54858.333333333328</v>
      </c>
      <c r="CR14" s="48">
        <f>131660/12*4</f>
        <v>43886.666666666664</v>
      </c>
      <c r="CS14" s="48">
        <f>131660/12*3</f>
        <v>32915</v>
      </c>
      <c r="CT14" s="48">
        <f>131660/12*2</f>
        <v>21943.333333333332</v>
      </c>
      <c r="CU14" s="48">
        <f>131660/12</f>
        <v>10971.666666666666</v>
      </c>
    </row>
    <row r="15" spans="1:104" x14ac:dyDescent="0.25">
      <c r="D15" s="1" t="s">
        <v>44</v>
      </c>
      <c r="E15" s="24">
        <f t="shared" ref="E15:F15" si="28">+E14-E13</f>
        <v>947.61000000001513</v>
      </c>
      <c r="F15" s="24">
        <f t="shared" si="28"/>
        <v>3901.826666666675</v>
      </c>
      <c r="G15" s="24">
        <f t="shared" ref="G15:H15" si="29">+G14-G13</f>
        <v>3099.5233333333454</v>
      </c>
      <c r="H15" s="24">
        <f t="shared" si="29"/>
        <v>1169.3300000000017</v>
      </c>
      <c r="I15" s="24">
        <f t="shared" ref="I15:J15" si="30">+I14-I13</f>
        <v>-941.83333333332848</v>
      </c>
      <c r="J15" s="24">
        <f t="shared" si="30"/>
        <v>-2122.8266666666605</v>
      </c>
      <c r="K15" s="24">
        <f t="shared" ref="K15:L15" si="31">+K14-K13</f>
        <v>-2344.3000000000029</v>
      </c>
      <c r="L15" s="24">
        <f t="shared" si="31"/>
        <v>779.34666666667181</v>
      </c>
      <c r="M15" s="24">
        <f t="shared" ref="M15:N15" si="32">+M14-M13</f>
        <v>-1234.4766666666692</v>
      </c>
      <c r="N15" s="24">
        <f t="shared" si="32"/>
        <v>-1683.7400000000052</v>
      </c>
      <c r="O15" s="24">
        <f t="shared" ref="O15:P15" si="33">+O14-O13</f>
        <v>-76.773333333330811</v>
      </c>
      <c r="P15" s="24">
        <f t="shared" si="33"/>
        <v>-1470.5866666666661</v>
      </c>
      <c r="Q15" s="65">
        <f t="shared" ref="Q15:CB15" si="34">+Q14-Q13</f>
        <v>3677.0900000000111</v>
      </c>
      <c r="R15" s="24">
        <f t="shared" si="34"/>
        <v>9009.6966666666704</v>
      </c>
      <c r="S15" s="24">
        <f t="shared" si="34"/>
        <v>7005.813333333339</v>
      </c>
      <c r="T15" s="24">
        <f t="shared" si="34"/>
        <v>4868.1800000000076</v>
      </c>
      <c r="U15" s="24">
        <f t="shared" si="34"/>
        <v>5185.3066666666709</v>
      </c>
      <c r="V15" s="24">
        <f t="shared" si="34"/>
        <v>4732.8633333333419</v>
      </c>
      <c r="W15" s="24">
        <f t="shared" si="34"/>
        <v>2762.6900000000023</v>
      </c>
      <c r="X15" s="24">
        <f t="shared" si="34"/>
        <v>3265.8766666666779</v>
      </c>
      <c r="Y15" s="24">
        <f t="shared" si="34"/>
        <v>1839.6333333333387</v>
      </c>
      <c r="Z15" s="24">
        <f t="shared" si="34"/>
        <v>-1832.2900000000009</v>
      </c>
      <c r="AA15" s="24">
        <f t="shared" si="34"/>
        <v>146.33666666666613</v>
      </c>
      <c r="AB15" s="24">
        <f t="shared" si="34"/>
        <v>-1376.1166666666668</v>
      </c>
      <c r="AC15" s="24">
        <f t="shared" si="34"/>
        <v>12315.770000000004</v>
      </c>
      <c r="AD15" s="24">
        <f t="shared" si="34"/>
        <v>12925.58666666667</v>
      </c>
      <c r="AE15" s="24">
        <f t="shared" si="34"/>
        <v>11863.543333333335</v>
      </c>
      <c r="AF15" s="24">
        <f t="shared" si="34"/>
        <v>10718.710000000006</v>
      </c>
      <c r="AG15" s="24">
        <f t="shared" si="34"/>
        <v>11493.356666666674</v>
      </c>
      <c r="AH15" s="42">
        <f t="shared" si="34"/>
        <v>8958.2933333333494</v>
      </c>
      <c r="AI15" s="24">
        <f t="shared" si="34"/>
        <v>9471.3999999999942</v>
      </c>
      <c r="AJ15" s="24">
        <f t="shared" si="34"/>
        <v>7815.8466666666718</v>
      </c>
      <c r="AK15" s="43">
        <f t="shared" si="34"/>
        <v>5600.1833333333343</v>
      </c>
      <c r="AL15" s="24">
        <f t="shared" si="34"/>
        <v>3651.119999999999</v>
      </c>
      <c r="AM15" s="24">
        <f t="shared" si="34"/>
        <v>2856.4466666666667</v>
      </c>
      <c r="AN15" s="24">
        <f t="shared" si="34"/>
        <v>873.22333333333336</v>
      </c>
      <c r="AO15" s="24">
        <f t="shared" si="34"/>
        <v>12523.959999999992</v>
      </c>
      <c r="AP15" s="24">
        <f t="shared" si="34"/>
        <v>13377.449999999983</v>
      </c>
      <c r="AQ15" s="24">
        <f t="shared" si="34"/>
        <v>12332.599999999991</v>
      </c>
      <c r="AR15" s="24">
        <f t="shared" si="34"/>
        <v>10216.970000000001</v>
      </c>
      <c r="AS15" s="24">
        <f t="shared" si="34"/>
        <v>9062.0499999999884</v>
      </c>
      <c r="AT15" s="24">
        <f t="shared" si="34"/>
        <v>6693.6399999999994</v>
      </c>
      <c r="AU15" s="24">
        <f t="shared" si="34"/>
        <v>8825.39</v>
      </c>
      <c r="AV15" s="24">
        <f t="shared" si="34"/>
        <v>6898.7000000000044</v>
      </c>
      <c r="AW15" s="24">
        <f t="shared" si="34"/>
        <v>5354.7299999999959</v>
      </c>
      <c r="AX15" s="24">
        <f t="shared" si="34"/>
        <v>4244.09</v>
      </c>
      <c r="AY15" s="24">
        <f t="shared" si="34"/>
        <v>1584.1100000000006</v>
      </c>
      <c r="AZ15" s="24">
        <f t="shared" si="34"/>
        <v>133.10000000000036</v>
      </c>
      <c r="BA15" s="24">
        <f t="shared" si="34"/>
        <v>13170.350000000006</v>
      </c>
      <c r="BB15" s="24">
        <f t="shared" si="34"/>
        <v>12681.62999999999</v>
      </c>
      <c r="BC15" s="24">
        <f t="shared" si="34"/>
        <v>10894.25</v>
      </c>
      <c r="BD15" s="24">
        <f t="shared" si="34"/>
        <v>10468.25</v>
      </c>
      <c r="BE15" s="24">
        <f t="shared" si="34"/>
        <v>9897</v>
      </c>
      <c r="BF15" s="24">
        <f t="shared" si="34"/>
        <v>7945</v>
      </c>
      <c r="BG15" s="24">
        <f t="shared" si="34"/>
        <v>8762.9799999999959</v>
      </c>
      <c r="BH15" s="24">
        <f t="shared" si="34"/>
        <v>6089.6100000000006</v>
      </c>
      <c r="BI15" s="24">
        <f t="shared" si="34"/>
        <v>4447.4500000000044</v>
      </c>
      <c r="BJ15" s="24">
        <f t="shared" si="34"/>
        <v>5308.1699999999983</v>
      </c>
      <c r="BK15" s="24">
        <f t="shared" si="34"/>
        <v>2776.8600000000006</v>
      </c>
      <c r="BL15" s="24">
        <f t="shared" si="34"/>
        <v>230.15999999999985</v>
      </c>
      <c r="BM15" s="24">
        <f t="shared" si="34"/>
        <v>12471.600000000006</v>
      </c>
      <c r="BN15" s="24">
        <f t="shared" si="34"/>
        <v>12685.283333333326</v>
      </c>
      <c r="BO15" s="24">
        <f t="shared" si="34"/>
        <v>10799.556666666656</v>
      </c>
      <c r="BP15" s="24">
        <f t="shared" si="34"/>
        <v>9478.320000000007</v>
      </c>
      <c r="BQ15" s="24">
        <f t="shared" si="34"/>
        <v>7005.993333333332</v>
      </c>
      <c r="BR15" s="24">
        <f t="shared" si="34"/>
        <v>4702.9066666666622</v>
      </c>
      <c r="BS15" s="24">
        <f t="shared" si="34"/>
        <v>4895.6500000000015</v>
      </c>
      <c r="BT15" s="24">
        <f t="shared" si="34"/>
        <v>4014.2633333333288</v>
      </c>
      <c r="BU15" s="24">
        <f t="shared" si="34"/>
        <v>2603.5266666666648</v>
      </c>
      <c r="BV15" s="24">
        <f t="shared" si="34"/>
        <v>951.34000000000015</v>
      </c>
      <c r="BW15" s="24">
        <f t="shared" si="34"/>
        <v>-236.95666666666875</v>
      </c>
      <c r="BX15" s="24">
        <f t="shared" si="34"/>
        <v>-2834.623333333333</v>
      </c>
      <c r="BY15" s="24">
        <f t="shared" si="34"/>
        <v>16447.546666666676</v>
      </c>
      <c r="BZ15" s="24">
        <f t="shared" si="34"/>
        <v>15053.423333333354</v>
      </c>
      <c r="CA15" s="24">
        <f t="shared" si="34"/>
        <v>12257.429999999993</v>
      </c>
      <c r="CB15" s="24">
        <f t="shared" si="34"/>
        <v>8906.506666666668</v>
      </c>
      <c r="CC15" s="24">
        <f t="shared" ref="CC15:CU15" si="35">+CC14-CC13</f>
        <v>12558.323333333348</v>
      </c>
      <c r="CD15" s="24">
        <f t="shared" si="35"/>
        <v>11053.489999999998</v>
      </c>
      <c r="CE15" s="24">
        <f t="shared" si="35"/>
        <v>7567.9566666666724</v>
      </c>
      <c r="CF15" s="24">
        <f t="shared" si="35"/>
        <v>4875.9433333333363</v>
      </c>
      <c r="CG15" s="24">
        <f t="shared" si="35"/>
        <v>3945.84</v>
      </c>
      <c r="CH15" s="24">
        <f t="shared" si="35"/>
        <v>6757.7366666666676</v>
      </c>
      <c r="CI15" s="24">
        <f t="shared" si="35"/>
        <v>1408.8533333333326</v>
      </c>
      <c r="CJ15" s="24">
        <f t="shared" si="35"/>
        <v>21466.300000000017</v>
      </c>
      <c r="CK15" s="24">
        <f t="shared" si="35"/>
        <v>20792.363333333327</v>
      </c>
      <c r="CL15" s="24">
        <f t="shared" si="35"/>
        <v>16897.84666666665</v>
      </c>
      <c r="CM15" s="24">
        <f t="shared" si="35"/>
        <v>14677.169999999998</v>
      </c>
      <c r="CN15" s="24">
        <f t="shared" si="35"/>
        <v>12073.743333333332</v>
      </c>
      <c r="CO15" s="24">
        <f t="shared" si="35"/>
        <v>9696.9766666666546</v>
      </c>
      <c r="CP15" s="24">
        <f t="shared" si="35"/>
        <v>8653.1800000000076</v>
      </c>
      <c r="CQ15" s="24">
        <f t="shared" si="35"/>
        <v>5183.1933333333291</v>
      </c>
      <c r="CR15" s="24">
        <f t="shared" si="35"/>
        <v>5055.1666666666642</v>
      </c>
      <c r="CS15" s="24">
        <f t="shared" si="35"/>
        <v>4984.6700000000019</v>
      </c>
      <c r="CT15" s="24">
        <f t="shared" si="35"/>
        <v>2793.8233333333301</v>
      </c>
      <c r="CU15" s="24">
        <f t="shared" si="35"/>
        <v>1382.786666666665</v>
      </c>
    </row>
    <row r="16" spans="1:104" x14ac:dyDescent="0.25"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5"/>
      <c r="Q16" s="21"/>
      <c r="R16" s="15"/>
      <c r="S16" s="15"/>
      <c r="T16" s="15"/>
      <c r="U16" s="15"/>
      <c r="V16" s="17"/>
      <c r="W16" s="17"/>
      <c r="X16" s="17"/>
      <c r="Y16" s="17"/>
      <c r="Z16" s="15"/>
      <c r="AA16" s="17"/>
      <c r="AB16" s="17"/>
      <c r="AC16" s="17"/>
      <c r="AD16" s="17"/>
      <c r="AE16" s="17"/>
      <c r="AF16" s="14"/>
      <c r="AG16" s="16"/>
      <c r="AH16" s="1"/>
      <c r="AI16" s="1"/>
      <c r="AK16" s="37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</row>
    <row r="17" spans="1:99" x14ac:dyDescent="0.25">
      <c r="A17" s="1" t="s">
        <v>45</v>
      </c>
      <c r="D17" s="1" t="s">
        <v>46</v>
      </c>
      <c r="E17" s="27">
        <f t="shared" ref="E17:L17" si="36">+E15+E7+E11</f>
        <v>-4436.2200000000012</v>
      </c>
      <c r="F17" s="27">
        <f t="shared" si="36"/>
        <v>-676.78666666665595</v>
      </c>
      <c r="G17" s="27">
        <f t="shared" si="36"/>
        <v>-598.77333333332354</v>
      </c>
      <c r="H17" s="27">
        <f t="shared" si="36"/>
        <v>-2732.070000000007</v>
      </c>
      <c r="I17" s="27">
        <f t="shared" si="36"/>
        <v>-6296.0366666666559</v>
      </c>
      <c r="J17" s="27">
        <f t="shared" si="36"/>
        <v>-7397.2933333333294</v>
      </c>
      <c r="K17" s="27">
        <f t="shared" si="36"/>
        <v>-7486.5200000000041</v>
      </c>
      <c r="L17" s="27">
        <f t="shared" si="36"/>
        <v>-3547.7466666666551</v>
      </c>
      <c r="M17" s="27">
        <f t="shared" ref="M17:N17" si="37">+M15+M7+M11</f>
        <v>-4943.4833333333318</v>
      </c>
      <c r="N17" s="27">
        <f t="shared" si="37"/>
        <v>-6198.1000000000058</v>
      </c>
      <c r="O17" s="27">
        <f t="shared" ref="O17:P17" si="38">+O15+O7+O11</f>
        <v>-4212.1466666666647</v>
      </c>
      <c r="P17" s="27">
        <f t="shared" si="38"/>
        <v>-6279.8633333333328</v>
      </c>
      <c r="Q17" s="55">
        <f t="shared" ref="Q17:CB17" si="39">+Q15+Q7+Q11</f>
        <v>13323.100000000006</v>
      </c>
      <c r="R17" s="27">
        <f t="shared" si="39"/>
        <v>16946.233333333348</v>
      </c>
      <c r="S17" s="27">
        <f t="shared" si="39"/>
        <v>14353.186666666683</v>
      </c>
      <c r="T17" s="27">
        <f t="shared" si="39"/>
        <v>5994.4000000000087</v>
      </c>
      <c r="U17" s="27">
        <f t="shared" si="39"/>
        <v>2440.2033333333347</v>
      </c>
      <c r="V17" s="27">
        <f t="shared" si="39"/>
        <v>1053.0766666666805</v>
      </c>
      <c r="W17" s="27">
        <f t="shared" si="39"/>
        <v>-1196.0699999999924</v>
      </c>
      <c r="X17" s="27">
        <f t="shared" si="39"/>
        <v>-1004.6266666666525</v>
      </c>
      <c r="Y17" s="27">
        <f t="shared" si="39"/>
        <v>-4213.643333333328</v>
      </c>
      <c r="Z17" s="27">
        <f t="shared" si="39"/>
        <v>-7752.2800000000061</v>
      </c>
      <c r="AA17" s="27">
        <f t="shared" si="39"/>
        <v>-8619.1966666666631</v>
      </c>
      <c r="AB17" s="27">
        <f t="shared" si="39"/>
        <v>-10903.053333333337</v>
      </c>
      <c r="AC17" s="27">
        <f t="shared" si="39"/>
        <v>16214.201428571429</v>
      </c>
      <c r="AD17" s="27">
        <f t="shared" si="39"/>
        <v>15068.000476190478</v>
      </c>
      <c r="AE17" s="27">
        <f t="shared" si="39"/>
        <v>13843.749523809525</v>
      </c>
      <c r="AF17" s="27">
        <f t="shared" si="39"/>
        <v>8660.2100000000064</v>
      </c>
      <c r="AG17" s="27">
        <f t="shared" si="39"/>
        <v>5978.1990476190585</v>
      </c>
      <c r="AH17" s="27">
        <f t="shared" si="39"/>
        <v>897.27238095240136</v>
      </c>
      <c r="AI17" s="27">
        <f t="shared" si="39"/>
        <v>1204.1199999999953</v>
      </c>
      <c r="AJ17" s="27">
        <f t="shared" si="39"/>
        <v>368.0033333333522</v>
      </c>
      <c r="AK17" s="56">
        <f t="shared" si="39"/>
        <v>-1393.3933333333352</v>
      </c>
      <c r="AL17" s="27">
        <f t="shared" si="39"/>
        <v>-2305.9400000000023</v>
      </c>
      <c r="AM17" s="27">
        <f t="shared" si="39"/>
        <v>-1956.9766666666628</v>
      </c>
      <c r="AN17" s="27">
        <f t="shared" si="39"/>
        <v>-986.34333333332734</v>
      </c>
      <c r="AO17" s="27">
        <f t="shared" si="39"/>
        <v>-1152.8199999999888</v>
      </c>
      <c r="AP17" s="27">
        <f t="shared" si="39"/>
        <v>1302.8175757575591</v>
      </c>
      <c r="AQ17" s="27">
        <f t="shared" si="39"/>
        <v>1014.4033333333427</v>
      </c>
      <c r="AR17" s="27">
        <f t="shared" si="39"/>
        <v>-242.6933333333327</v>
      </c>
      <c r="AS17" s="27">
        <f t="shared" si="39"/>
        <v>-588.38333333333503</v>
      </c>
      <c r="AT17" s="27">
        <f t="shared" si="39"/>
        <v>-2494.6452380952451</v>
      </c>
      <c r="AU17" s="27">
        <f t="shared" si="39"/>
        <v>629.36000000000422</v>
      </c>
      <c r="AV17" s="27">
        <f t="shared" si="39"/>
        <v>-431.77333333333081</v>
      </c>
      <c r="AW17" s="27">
        <f t="shared" si="39"/>
        <v>-415.62666666667246</v>
      </c>
      <c r="AX17" s="27">
        <f t="shared" si="39"/>
        <v>-1020.8399999999965</v>
      </c>
      <c r="AY17" s="27">
        <f t="shared" si="39"/>
        <v>-3258.7233333333324</v>
      </c>
      <c r="AZ17" s="27">
        <f t="shared" si="39"/>
        <v>-4532.8166666666657</v>
      </c>
      <c r="BA17" s="27">
        <f t="shared" si="39"/>
        <v>11684.929999999989</v>
      </c>
      <c r="BB17" s="27">
        <f t="shared" si="39"/>
        <v>11599.576363636354</v>
      </c>
      <c r="BC17" s="27">
        <f t="shared" si="39"/>
        <v>10191.159999999989</v>
      </c>
      <c r="BD17" s="27">
        <f t="shared" si="39"/>
        <v>8292.9833333333318</v>
      </c>
      <c r="BE17" s="27">
        <f t="shared" si="39"/>
        <v>6203.359999999986</v>
      </c>
      <c r="BF17" s="27">
        <f t="shared" si="39"/>
        <v>4735.1799999999912</v>
      </c>
      <c r="BG17" s="27">
        <f t="shared" si="39"/>
        <v>5633.7499999999891</v>
      </c>
      <c r="BH17" s="27">
        <f t="shared" si="39"/>
        <v>3507.9899999999975</v>
      </c>
      <c r="BI17" s="27">
        <f t="shared" si="39"/>
        <v>750.90000000000146</v>
      </c>
      <c r="BJ17" s="27">
        <f t="shared" si="39"/>
        <v>1411.2400000000021</v>
      </c>
      <c r="BK17" s="27">
        <f t="shared" si="39"/>
        <v>-723.47000000000116</v>
      </c>
      <c r="BL17" s="27">
        <f t="shared" si="39"/>
        <v>-2156.2199999999975</v>
      </c>
      <c r="BM17" s="27">
        <f t="shared" si="39"/>
        <v>9155.6400000000103</v>
      </c>
      <c r="BN17" s="27">
        <f t="shared" si="39"/>
        <v>10807.483939393935</v>
      </c>
      <c r="BO17" s="27">
        <f t="shared" si="39"/>
        <v>9791.9933333333211</v>
      </c>
      <c r="BP17" s="27">
        <f t="shared" si="39"/>
        <v>9580.8800000000047</v>
      </c>
      <c r="BQ17" s="27">
        <f t="shared" si="39"/>
        <v>7095.1266666666634</v>
      </c>
      <c r="BR17" s="27">
        <f t="shared" si="39"/>
        <v>5815.6233333333275</v>
      </c>
      <c r="BS17" s="27">
        <f t="shared" si="39"/>
        <v>6407.7599999999984</v>
      </c>
      <c r="BT17" s="27">
        <f t="shared" si="39"/>
        <v>4384.9066666666658</v>
      </c>
      <c r="BU17" s="27">
        <f t="shared" si="39"/>
        <v>3660.0233333333254</v>
      </c>
      <c r="BV17" s="27">
        <f t="shared" si="39"/>
        <v>2602.6199999999953</v>
      </c>
      <c r="BW17" s="27">
        <f t="shared" si="39"/>
        <v>-1339.2033333333302</v>
      </c>
      <c r="BX17" s="27">
        <f t="shared" si="39"/>
        <v>-3836.1066666666679</v>
      </c>
      <c r="BY17" s="27">
        <f t="shared" si="39"/>
        <v>17322.449696969721</v>
      </c>
      <c r="BZ17" s="27">
        <f t="shared" si="39"/>
        <v>12404.956666666694</v>
      </c>
      <c r="CA17" s="27">
        <f t="shared" si="39"/>
        <v>2144.44333333332</v>
      </c>
      <c r="CB17" s="27">
        <f t="shared" si="39"/>
        <v>125.85333333332892</v>
      </c>
      <c r="CC17" s="27">
        <f t="shared" ref="CC17:CI17" si="40">+CC15+CC7+CC11</f>
        <v>5340.4066666666804</v>
      </c>
      <c r="CD17" s="27">
        <f t="shared" si="40"/>
        <v>6002.229999999985</v>
      </c>
      <c r="CE17" s="27">
        <f t="shared" si="40"/>
        <v>3429.9533333333275</v>
      </c>
      <c r="CF17" s="27">
        <f t="shared" si="40"/>
        <v>2939.1866666666738</v>
      </c>
      <c r="CG17" s="27">
        <f t="shared" si="40"/>
        <v>2303.2100000000132</v>
      </c>
      <c r="CH17" s="27">
        <f t="shared" si="40"/>
        <v>4287.1933333333427</v>
      </c>
      <c r="CI17" s="27">
        <f t="shared" si="40"/>
        <v>1576.6766666666713</v>
      </c>
      <c r="CJ17" s="27">
        <f t="shared" ref="CJ17:CU17" si="41">+CJ15+CJ7</f>
        <v>16823.390909090929</v>
      </c>
      <c r="CK17" s="27">
        <f t="shared" si="41"/>
        <v>16149.454242424239</v>
      </c>
      <c r="CL17" s="27">
        <f t="shared" si="41"/>
        <v>12160.246666666651</v>
      </c>
      <c r="CM17" s="27">
        <f t="shared" si="41"/>
        <v>9842.5033333333322</v>
      </c>
      <c r="CN17" s="27">
        <f t="shared" si="41"/>
        <v>7159.743333333332</v>
      </c>
      <c r="CO17" s="27">
        <f t="shared" si="41"/>
        <v>4728.9766666666574</v>
      </c>
      <c r="CP17" s="27">
        <f t="shared" si="41"/>
        <v>3641.1800000000112</v>
      </c>
      <c r="CQ17" s="27">
        <f t="shared" si="41"/>
        <v>176.79333333332761</v>
      </c>
      <c r="CR17" s="27">
        <f t="shared" si="41"/>
        <v>141.16666666666424</v>
      </c>
      <c r="CS17" s="27">
        <f t="shared" si="41"/>
        <v>-559.32999999999811</v>
      </c>
      <c r="CT17" s="27">
        <f t="shared" si="41"/>
        <v>-1658.1766666666699</v>
      </c>
      <c r="CU17" s="27">
        <f t="shared" si="41"/>
        <v>-2145.213333333335</v>
      </c>
    </row>
    <row r="18" spans="1:99" x14ac:dyDescent="0.25"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5"/>
      <c r="Q18" s="21"/>
      <c r="R18" s="15"/>
      <c r="S18" s="15"/>
      <c r="T18" s="15"/>
      <c r="U18" s="15"/>
      <c r="V18" s="17"/>
      <c r="W18" s="17"/>
      <c r="X18" s="17"/>
      <c r="Y18" s="17"/>
      <c r="Z18" s="15"/>
      <c r="AA18" s="17"/>
      <c r="AB18" s="17"/>
      <c r="AC18" s="17"/>
      <c r="AD18" s="17"/>
      <c r="AE18" s="17"/>
      <c r="AF18" s="14"/>
      <c r="AG18" s="16"/>
      <c r="AH18" s="1"/>
      <c r="AI18" s="1"/>
      <c r="AK18" s="37"/>
    </row>
    <row r="19" spans="1:99" x14ac:dyDescent="0.25">
      <c r="A19" s="36" t="s">
        <v>47</v>
      </c>
      <c r="D19" s="1" t="s">
        <v>48</v>
      </c>
      <c r="E19" s="26">
        <v>244725.1</v>
      </c>
      <c r="F19" s="26">
        <v>226625.55</v>
      </c>
      <c r="G19" s="26">
        <v>226608.28</v>
      </c>
      <c r="H19" s="26">
        <v>229510.33</v>
      </c>
      <c r="I19" s="26">
        <v>232511.29</v>
      </c>
      <c r="J19" s="26">
        <v>234286.13</v>
      </c>
      <c r="K19" s="26">
        <v>236172.23</v>
      </c>
      <c r="L19" s="26">
        <v>242756.93</v>
      </c>
      <c r="M19" s="26">
        <v>247702.06</v>
      </c>
      <c r="N19" s="26">
        <v>235877.87</v>
      </c>
      <c r="O19" s="26">
        <v>234462.44</v>
      </c>
      <c r="P19" s="50">
        <v>232551.07</v>
      </c>
      <c r="Q19" s="51">
        <v>227223.46</v>
      </c>
      <c r="R19" s="50">
        <v>222291.28</v>
      </c>
      <c r="S19" s="50">
        <v>222964.41</v>
      </c>
      <c r="T19" s="50">
        <v>220065.09</v>
      </c>
      <c r="U19" s="50">
        <v>219445.58</v>
      </c>
      <c r="V19" s="50">
        <v>221905.46</v>
      </c>
      <c r="W19" s="50">
        <v>221376.32</v>
      </c>
      <c r="X19" s="50">
        <v>226540.87</v>
      </c>
      <c r="Y19" s="50">
        <v>228537.46</v>
      </c>
      <c r="Z19" s="50">
        <v>218238.76</v>
      </c>
      <c r="AA19" s="50">
        <v>217631.22</v>
      </c>
      <c r="AB19" s="50">
        <v>215799.79</v>
      </c>
      <c r="AC19" s="50">
        <v>213717.5</v>
      </c>
      <c r="AD19" s="50">
        <v>200455.16</v>
      </c>
      <c r="AE19" s="50">
        <v>199174.08</v>
      </c>
      <c r="AF19" s="18">
        <v>198871.91</v>
      </c>
      <c r="AG19" s="18">
        <v>201633.03</v>
      </c>
      <c r="AH19" s="26">
        <v>198427.36</v>
      </c>
      <c r="AI19" s="9">
        <v>201764.75</v>
      </c>
      <c r="AJ19" s="9">
        <v>204090.18</v>
      </c>
      <c r="AK19" s="11">
        <v>204811.16</v>
      </c>
      <c r="AL19" s="9">
        <v>207426.69</v>
      </c>
      <c r="AM19" s="9">
        <v>208671.66</v>
      </c>
      <c r="AN19" s="9">
        <v>205831.41</v>
      </c>
      <c r="AO19" s="9">
        <v>196400.27</v>
      </c>
      <c r="AP19" s="9">
        <v>183372.72</v>
      </c>
      <c r="AQ19" s="9">
        <v>187318.57</v>
      </c>
      <c r="AR19" s="9">
        <v>192689.72</v>
      </c>
      <c r="AS19" s="9">
        <v>196488.25</v>
      </c>
      <c r="AT19" s="9">
        <v>199939.96</v>
      </c>
      <c r="AU19" s="9">
        <v>206509.62</v>
      </c>
      <c r="AV19" s="9">
        <v>208026.37</v>
      </c>
      <c r="AW19" s="9">
        <v>226589.55</v>
      </c>
      <c r="AX19" s="9">
        <v>236966</v>
      </c>
      <c r="AY19" s="9">
        <v>216536.92</v>
      </c>
      <c r="AZ19" s="9">
        <v>208852.88</v>
      </c>
      <c r="BA19" s="9">
        <v>208084.34</v>
      </c>
      <c r="BB19" s="9">
        <v>190910.57</v>
      </c>
      <c r="BC19" s="9">
        <v>195109.54</v>
      </c>
      <c r="BD19" s="9">
        <v>196661.4</v>
      </c>
      <c r="BE19" s="9">
        <v>198062.31</v>
      </c>
      <c r="BF19" s="9">
        <v>201360.67</v>
      </c>
      <c r="BG19" s="9">
        <v>205295.41</v>
      </c>
      <c r="BH19" s="9">
        <v>222436.86</v>
      </c>
      <c r="BI19" s="9">
        <v>223214.74</v>
      </c>
      <c r="BJ19" s="9">
        <v>225441.26</v>
      </c>
      <c r="BK19" s="9">
        <v>200070.68</v>
      </c>
      <c r="BL19" s="9">
        <v>190292.37</v>
      </c>
      <c r="BM19" s="25">
        <v>183451.03</v>
      </c>
      <c r="BN19" s="25">
        <v>165527.87</v>
      </c>
      <c r="BO19" s="25">
        <v>169705.41</v>
      </c>
      <c r="BP19" s="25">
        <v>171598.07</v>
      </c>
      <c r="BQ19" s="25">
        <v>171675.05</v>
      </c>
      <c r="BR19" s="10">
        <v>174179.87</v>
      </c>
      <c r="BS19" s="10">
        <v>196037.68</v>
      </c>
      <c r="BT19" s="10">
        <v>201222.8</v>
      </c>
      <c r="BU19" s="10">
        <v>199351.59</v>
      </c>
      <c r="BV19" s="10">
        <v>182578.38</v>
      </c>
      <c r="BW19" s="10">
        <v>172974.49</v>
      </c>
      <c r="BX19" s="10">
        <v>168857.21</v>
      </c>
      <c r="BY19" s="10">
        <v>138236.38</v>
      </c>
      <c r="BZ19" s="10">
        <v>139914.1</v>
      </c>
      <c r="CA19" s="10">
        <v>136897.97</v>
      </c>
      <c r="CB19" s="10">
        <v>133154.15</v>
      </c>
      <c r="CC19" s="10">
        <v>141056.29</v>
      </c>
      <c r="CD19" s="10">
        <v>146472.87</v>
      </c>
      <c r="CE19" s="10">
        <v>171294.25</v>
      </c>
      <c r="CF19" s="10">
        <v>171543.28</v>
      </c>
      <c r="CG19" s="10">
        <v>155924.75</v>
      </c>
      <c r="CH19" s="10">
        <v>154498.1</v>
      </c>
      <c r="CI19" s="10">
        <v>152371.14000000001</v>
      </c>
      <c r="CJ19" s="10">
        <v>120388.32</v>
      </c>
      <c r="CK19" s="10">
        <v>99920.19</v>
      </c>
      <c r="CL19" s="10">
        <v>101238.88</v>
      </c>
      <c r="CM19" s="10">
        <v>105639.09</v>
      </c>
      <c r="CN19" s="10">
        <v>108992.54</v>
      </c>
      <c r="CO19" s="10">
        <v>112437.44</v>
      </c>
      <c r="CP19" s="10">
        <v>113633.69</v>
      </c>
      <c r="CQ19" s="10">
        <v>115805.19</v>
      </c>
      <c r="CR19" s="10">
        <v>157672.74</v>
      </c>
      <c r="CS19" s="10">
        <v>164947.21</v>
      </c>
      <c r="CT19" s="10">
        <v>154575.5</v>
      </c>
      <c r="CU19" s="10">
        <v>151253.48000000001</v>
      </c>
    </row>
    <row r="20" spans="1:99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26">
        <v>-49286.32</v>
      </c>
      <c r="K20" s="26">
        <v>-49286.32</v>
      </c>
      <c r="L20" s="26">
        <v>-49286.32</v>
      </c>
      <c r="M20" s="26">
        <v>-49286.32</v>
      </c>
      <c r="N20" s="26">
        <v>-49286.32</v>
      </c>
      <c r="O20" s="26">
        <v>-49286.32</v>
      </c>
      <c r="P20" s="50">
        <v>-49286.32</v>
      </c>
      <c r="Q20" s="51">
        <v>-49286.32</v>
      </c>
      <c r="R20" s="50">
        <v>-49286.32</v>
      </c>
      <c r="S20" s="50">
        <v>-49286.32</v>
      </c>
      <c r="T20" s="50">
        <v>-49286.32</v>
      </c>
      <c r="U20" s="50">
        <v>-49286.32</v>
      </c>
      <c r="V20" s="50">
        <v>-49286.32</v>
      </c>
      <c r="W20" s="50">
        <v>-49286.32</v>
      </c>
      <c r="X20" s="50">
        <v>-49286.32</v>
      </c>
      <c r="Y20" s="50">
        <v>-49286.32</v>
      </c>
      <c r="Z20" s="50">
        <v>-49286.32</v>
      </c>
      <c r="AA20" s="50">
        <v>-49286.32</v>
      </c>
      <c r="AB20" s="50">
        <v>-49286.32</v>
      </c>
      <c r="AC20" s="50">
        <v>-49286.32</v>
      </c>
      <c r="AD20" s="50">
        <v>-49286.32</v>
      </c>
      <c r="AE20" s="50">
        <v>-49286.32</v>
      </c>
      <c r="AF20" s="18">
        <v>-49286.32</v>
      </c>
      <c r="AG20" s="18">
        <v>-49286.32</v>
      </c>
      <c r="AH20" s="26">
        <v>-49286.32</v>
      </c>
      <c r="AI20" s="9">
        <v>-49286.32</v>
      </c>
      <c r="AJ20" s="9">
        <v>-52772.84</v>
      </c>
      <c r="AK20" s="11">
        <v>-52772.84</v>
      </c>
      <c r="AL20" s="9">
        <v>-52772.84</v>
      </c>
      <c r="AM20" s="9">
        <v>-52772.84</v>
      </c>
      <c r="AN20" s="9">
        <v>-52772.84</v>
      </c>
      <c r="AO20" s="9">
        <v>-49435.3</v>
      </c>
      <c r="AP20" s="9">
        <v>-49435.3</v>
      </c>
      <c r="AQ20" s="9">
        <v>-49435.3</v>
      </c>
      <c r="AR20" s="9">
        <v>-49435.3</v>
      </c>
      <c r="AS20" s="9">
        <v>-49435.3</v>
      </c>
      <c r="AT20" s="9">
        <v>-49435.3</v>
      </c>
      <c r="AU20" s="9">
        <v>-49435.3</v>
      </c>
      <c r="AV20" s="9">
        <v>-49435.3</v>
      </c>
      <c r="AW20" s="9">
        <v>-49435.3</v>
      </c>
      <c r="AX20" s="9">
        <v>-49435.3</v>
      </c>
      <c r="AY20" s="9">
        <v>-49435.3</v>
      </c>
      <c r="AZ20" s="9">
        <v>-49435.3</v>
      </c>
      <c r="BA20" s="9">
        <v>-49532.62</v>
      </c>
      <c r="BB20" s="9">
        <v>-49532.62</v>
      </c>
      <c r="BC20" s="9">
        <v>-49532.62</v>
      </c>
      <c r="BD20" s="9">
        <v>-49532.62</v>
      </c>
      <c r="BE20" s="9">
        <v>-49532.62</v>
      </c>
      <c r="BF20" s="9">
        <v>-49532.62</v>
      </c>
      <c r="BG20" s="9">
        <v>-49532.62</v>
      </c>
      <c r="BH20" s="9">
        <v>-49532.62</v>
      </c>
      <c r="BI20" s="9">
        <v>-49532.62</v>
      </c>
      <c r="BJ20" s="9">
        <v>-49532.62</v>
      </c>
      <c r="BK20" s="9">
        <v>-49532.62</v>
      </c>
      <c r="BL20" s="9">
        <v>-49532.62</v>
      </c>
      <c r="BM20" s="26">
        <v>-50647.44</v>
      </c>
      <c r="BN20" s="26">
        <v>-48110.63</v>
      </c>
      <c r="BO20" s="26">
        <v>-47041.58</v>
      </c>
      <c r="BP20" s="26">
        <v>-47041.58</v>
      </c>
      <c r="BQ20" s="26">
        <v>-47041.58</v>
      </c>
      <c r="BR20" s="10">
        <v>-47041.58</v>
      </c>
      <c r="BS20" s="10">
        <v>-47041.58</v>
      </c>
      <c r="BT20" s="10">
        <v>-47041.58</v>
      </c>
      <c r="BU20" s="10">
        <v>-47041.58</v>
      </c>
      <c r="BV20" s="10">
        <v>-47041.58</v>
      </c>
      <c r="BW20" s="10">
        <v>-47041.58</v>
      </c>
      <c r="BX20" s="10">
        <v>-47041.58</v>
      </c>
      <c r="BY20" s="10">
        <v>-46210.35</v>
      </c>
      <c r="BZ20" s="10">
        <v>-46210.35</v>
      </c>
      <c r="CA20" s="10">
        <v>-46210.35</v>
      </c>
      <c r="CB20" s="10">
        <v>-46210.35</v>
      </c>
      <c r="CC20" s="10">
        <v>-46210.35</v>
      </c>
      <c r="CD20" s="10">
        <v>-46210.35</v>
      </c>
      <c r="CE20" s="10">
        <v>-46210.35</v>
      </c>
      <c r="CF20" s="10">
        <v>-46210.35</v>
      </c>
      <c r="CG20" s="10">
        <v>-46210.35</v>
      </c>
      <c r="CH20" s="10">
        <v>-46210.35</v>
      </c>
      <c r="CI20" s="10">
        <v>-46210.35</v>
      </c>
      <c r="CJ20" s="10">
        <v>-47919.53</v>
      </c>
      <c r="CK20" s="10">
        <v>-47919.53</v>
      </c>
      <c r="CL20" s="10">
        <v>-47919.53</v>
      </c>
      <c r="CM20" s="10">
        <v>-47919.53</v>
      </c>
      <c r="CN20" s="10">
        <v>-47919.53</v>
      </c>
      <c r="CO20" s="10">
        <v>-47919.53</v>
      </c>
      <c r="CP20" s="10">
        <v>-47919.53</v>
      </c>
      <c r="CQ20" s="10">
        <v>-47919.53</v>
      </c>
      <c r="CR20" s="10">
        <v>-47919.53</v>
      </c>
      <c r="CS20" s="10">
        <v>-47919.53</v>
      </c>
      <c r="CT20" s="10">
        <v>-47919.53</v>
      </c>
      <c r="CU20" s="10">
        <v>-47919.53</v>
      </c>
    </row>
    <row r="21" spans="1:99" ht="15.75" customHeight="1" x14ac:dyDescent="0.25">
      <c r="A21" s="1" t="s">
        <v>45</v>
      </c>
      <c r="E21" s="28">
        <f t="shared" ref="E21:F21" si="42">SUM(E19:E20)</f>
        <v>195438.78</v>
      </c>
      <c r="F21" s="28">
        <f t="shared" si="42"/>
        <v>177339.22999999998</v>
      </c>
      <c r="G21" s="28">
        <f t="shared" ref="G21:H21" si="43">SUM(G19:G20)</f>
        <v>177321.96</v>
      </c>
      <c r="H21" s="28">
        <f t="shared" si="43"/>
        <v>180224.00999999998</v>
      </c>
      <c r="I21" s="28">
        <f t="shared" ref="I21:J21" si="44">SUM(I19:I20)</f>
        <v>183224.97</v>
      </c>
      <c r="J21" s="28">
        <f t="shared" si="44"/>
        <v>184999.81</v>
      </c>
      <c r="K21" s="28">
        <f t="shared" ref="K21:L21" si="45">SUM(K19:K20)</f>
        <v>186885.91</v>
      </c>
      <c r="L21" s="28">
        <f t="shared" si="45"/>
        <v>193470.61</v>
      </c>
      <c r="M21" s="28">
        <f t="shared" ref="M21:N21" si="46">SUM(M19:M20)</f>
        <v>198415.74</v>
      </c>
      <c r="N21" s="28">
        <f t="shared" si="46"/>
        <v>186591.55</v>
      </c>
      <c r="O21" s="28">
        <f t="shared" ref="O21:P21" si="47">SUM(O19:O20)</f>
        <v>185176.12</v>
      </c>
      <c r="P21" s="28">
        <f t="shared" si="47"/>
        <v>183264.75</v>
      </c>
      <c r="Q21" s="66">
        <f t="shared" ref="Q21:CB21" si="48">SUM(Q19:Q20)</f>
        <v>177937.13999999998</v>
      </c>
      <c r="R21" s="28">
        <f t="shared" si="48"/>
        <v>173004.96</v>
      </c>
      <c r="S21" s="28">
        <f t="shared" si="48"/>
        <v>173678.09</v>
      </c>
      <c r="T21" s="28">
        <f t="shared" si="48"/>
        <v>170778.77</v>
      </c>
      <c r="U21" s="28">
        <f t="shared" si="48"/>
        <v>170159.25999999998</v>
      </c>
      <c r="V21" s="28">
        <f t="shared" si="48"/>
        <v>172619.13999999998</v>
      </c>
      <c r="W21" s="28">
        <f t="shared" si="48"/>
        <v>172090</v>
      </c>
      <c r="X21" s="28">
        <f t="shared" si="48"/>
        <v>177254.55</v>
      </c>
      <c r="Y21" s="28">
        <f t="shared" si="48"/>
        <v>179251.13999999998</v>
      </c>
      <c r="Z21" s="28">
        <f t="shared" si="48"/>
        <v>168952.44</v>
      </c>
      <c r="AA21" s="28">
        <f t="shared" si="48"/>
        <v>168344.9</v>
      </c>
      <c r="AB21" s="28">
        <f t="shared" si="48"/>
        <v>166513.47</v>
      </c>
      <c r="AC21" s="28">
        <f t="shared" si="48"/>
        <v>164431.18</v>
      </c>
      <c r="AD21" s="28">
        <f t="shared" si="48"/>
        <v>151168.84</v>
      </c>
      <c r="AE21" s="28">
        <f t="shared" si="48"/>
        <v>149887.75999999998</v>
      </c>
      <c r="AF21" s="28">
        <f t="shared" si="48"/>
        <v>149585.59</v>
      </c>
      <c r="AG21" s="28">
        <f t="shared" si="48"/>
        <v>152346.71</v>
      </c>
      <c r="AH21" s="57">
        <f t="shared" si="48"/>
        <v>149141.03999999998</v>
      </c>
      <c r="AI21" s="28">
        <f t="shared" si="48"/>
        <v>152478.43</v>
      </c>
      <c r="AJ21" s="28">
        <f t="shared" si="48"/>
        <v>151317.34</v>
      </c>
      <c r="AK21" s="58">
        <f t="shared" si="48"/>
        <v>152038.32</v>
      </c>
      <c r="AL21" s="28">
        <f t="shared" si="48"/>
        <v>154653.85</v>
      </c>
      <c r="AM21" s="28">
        <f t="shared" si="48"/>
        <v>155898.82</v>
      </c>
      <c r="AN21" s="28">
        <f t="shared" si="48"/>
        <v>153058.57</v>
      </c>
      <c r="AO21" s="28">
        <f t="shared" si="48"/>
        <v>146964.96999999997</v>
      </c>
      <c r="AP21" s="28">
        <f t="shared" si="48"/>
        <v>133937.41999999998</v>
      </c>
      <c r="AQ21" s="28">
        <f t="shared" si="48"/>
        <v>137883.27000000002</v>
      </c>
      <c r="AR21" s="28">
        <f t="shared" si="48"/>
        <v>143254.41999999998</v>
      </c>
      <c r="AS21" s="28">
        <f t="shared" si="48"/>
        <v>147052.95000000001</v>
      </c>
      <c r="AT21" s="28">
        <f t="shared" si="48"/>
        <v>150504.65999999997</v>
      </c>
      <c r="AU21" s="28">
        <f t="shared" si="48"/>
        <v>157074.32</v>
      </c>
      <c r="AV21" s="28">
        <f t="shared" si="48"/>
        <v>158591.07</v>
      </c>
      <c r="AW21" s="28">
        <f t="shared" si="48"/>
        <v>177154.25</v>
      </c>
      <c r="AX21" s="28">
        <f t="shared" si="48"/>
        <v>187530.7</v>
      </c>
      <c r="AY21" s="28">
        <f t="shared" si="48"/>
        <v>167101.62</v>
      </c>
      <c r="AZ21" s="28">
        <f t="shared" si="48"/>
        <v>159417.58000000002</v>
      </c>
      <c r="BA21" s="28">
        <f t="shared" si="48"/>
        <v>158551.72</v>
      </c>
      <c r="BB21" s="28">
        <f t="shared" si="48"/>
        <v>141377.95000000001</v>
      </c>
      <c r="BC21" s="28">
        <f t="shared" si="48"/>
        <v>145576.92000000001</v>
      </c>
      <c r="BD21" s="28">
        <f t="shared" si="48"/>
        <v>147128.78</v>
      </c>
      <c r="BE21" s="28">
        <f t="shared" si="48"/>
        <v>148529.69</v>
      </c>
      <c r="BF21" s="28">
        <f t="shared" si="48"/>
        <v>151828.05000000002</v>
      </c>
      <c r="BG21" s="28">
        <f t="shared" si="48"/>
        <v>155762.79</v>
      </c>
      <c r="BH21" s="28">
        <f t="shared" si="48"/>
        <v>172904.24</v>
      </c>
      <c r="BI21" s="28">
        <f t="shared" si="48"/>
        <v>173682.12</v>
      </c>
      <c r="BJ21" s="28">
        <f t="shared" si="48"/>
        <v>175908.64</v>
      </c>
      <c r="BK21" s="28">
        <f t="shared" si="48"/>
        <v>150538.06</v>
      </c>
      <c r="BL21" s="28">
        <f t="shared" si="48"/>
        <v>140759.75</v>
      </c>
      <c r="BM21" s="28">
        <f t="shared" si="48"/>
        <v>132803.59</v>
      </c>
      <c r="BN21" s="28">
        <f t="shared" si="48"/>
        <v>117417.23999999999</v>
      </c>
      <c r="BO21" s="28">
        <f t="shared" si="48"/>
        <v>122663.83</v>
      </c>
      <c r="BP21" s="28">
        <f t="shared" si="48"/>
        <v>124556.49</v>
      </c>
      <c r="BQ21" s="28">
        <f t="shared" si="48"/>
        <v>124633.46999999999</v>
      </c>
      <c r="BR21" s="28">
        <f t="shared" si="48"/>
        <v>127138.29</v>
      </c>
      <c r="BS21" s="28">
        <f t="shared" si="48"/>
        <v>148996.09999999998</v>
      </c>
      <c r="BT21" s="28">
        <f t="shared" si="48"/>
        <v>154181.21999999997</v>
      </c>
      <c r="BU21" s="28">
        <f t="shared" si="48"/>
        <v>152310.01</v>
      </c>
      <c r="BV21" s="28">
        <f t="shared" si="48"/>
        <v>135536.79999999999</v>
      </c>
      <c r="BW21" s="28">
        <f t="shared" si="48"/>
        <v>125932.90999999999</v>
      </c>
      <c r="BX21" s="28">
        <f t="shared" si="48"/>
        <v>121815.62999999999</v>
      </c>
      <c r="BY21" s="28">
        <f t="shared" si="48"/>
        <v>92026.03</v>
      </c>
      <c r="BZ21" s="28">
        <f t="shared" si="48"/>
        <v>93703.75</v>
      </c>
      <c r="CA21" s="28">
        <f t="shared" si="48"/>
        <v>90687.62</v>
      </c>
      <c r="CB21" s="28">
        <f t="shared" si="48"/>
        <v>86943.799999999988</v>
      </c>
      <c r="CC21" s="28">
        <f t="shared" ref="CC21:CU21" si="49">SUM(CC19:CC20)</f>
        <v>94845.94</v>
      </c>
      <c r="CD21" s="28">
        <f t="shared" si="49"/>
        <v>100262.51999999999</v>
      </c>
      <c r="CE21" s="28">
        <f t="shared" si="49"/>
        <v>125083.9</v>
      </c>
      <c r="CF21" s="28">
        <f t="shared" si="49"/>
        <v>125332.93</v>
      </c>
      <c r="CG21" s="28">
        <f t="shared" si="49"/>
        <v>109714.4</v>
      </c>
      <c r="CH21" s="28">
        <f t="shared" si="49"/>
        <v>108287.75</v>
      </c>
      <c r="CI21" s="28">
        <f t="shared" si="49"/>
        <v>106160.79000000001</v>
      </c>
      <c r="CJ21" s="28">
        <f t="shared" si="49"/>
        <v>72468.790000000008</v>
      </c>
      <c r="CK21" s="28">
        <f t="shared" si="49"/>
        <v>52000.66</v>
      </c>
      <c r="CL21" s="28">
        <f t="shared" si="49"/>
        <v>53319.350000000006</v>
      </c>
      <c r="CM21" s="28">
        <f t="shared" si="49"/>
        <v>57719.56</v>
      </c>
      <c r="CN21" s="28">
        <f t="shared" si="49"/>
        <v>61073.009999999995</v>
      </c>
      <c r="CO21" s="28">
        <f t="shared" si="49"/>
        <v>64517.91</v>
      </c>
      <c r="CP21" s="28">
        <f t="shared" si="49"/>
        <v>65714.16</v>
      </c>
      <c r="CQ21" s="28">
        <f t="shared" si="49"/>
        <v>67885.66</v>
      </c>
      <c r="CR21" s="28">
        <f t="shared" si="49"/>
        <v>109753.20999999999</v>
      </c>
      <c r="CS21" s="28">
        <f t="shared" si="49"/>
        <v>117027.68</v>
      </c>
      <c r="CT21" s="28">
        <f t="shared" si="49"/>
        <v>106655.97</v>
      </c>
      <c r="CU21" s="28">
        <f t="shared" si="49"/>
        <v>103333.95000000001</v>
      </c>
    </row>
    <row r="22" spans="1:99" ht="15.75" customHeight="1" x14ac:dyDescent="0.25"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5"/>
      <c r="Q22" s="21"/>
      <c r="R22" s="15"/>
      <c r="S22" s="15"/>
      <c r="T22" s="15"/>
      <c r="U22" s="15"/>
      <c r="V22" s="15"/>
      <c r="W22" s="17"/>
      <c r="X22" s="17"/>
      <c r="Y22" s="17"/>
      <c r="Z22" s="15"/>
      <c r="AA22" s="17"/>
      <c r="AB22" s="17"/>
      <c r="AC22" s="17"/>
      <c r="AD22" s="17"/>
      <c r="AE22" s="17"/>
      <c r="AF22" s="14"/>
      <c r="AG22" s="16"/>
      <c r="AH22" s="1"/>
      <c r="AI22" s="1"/>
    </row>
    <row r="23" spans="1:99" ht="15.75" customHeight="1" x14ac:dyDescent="0.25">
      <c r="A23" s="36" t="s">
        <v>51</v>
      </c>
      <c r="D23" s="1" t="s">
        <v>52</v>
      </c>
      <c r="E23" s="25">
        <v>16753.84</v>
      </c>
      <c r="F23" s="25">
        <v>16758.93</v>
      </c>
      <c r="G23" s="25">
        <v>16916.72</v>
      </c>
      <c r="H23" s="25">
        <v>16925.97</v>
      </c>
      <c r="I23" s="25">
        <v>16925.97</v>
      </c>
      <c r="J23" s="25">
        <v>16925.97</v>
      </c>
      <c r="K23" s="25">
        <v>16925.97</v>
      </c>
      <c r="L23" s="25">
        <v>16925.97</v>
      </c>
      <c r="M23" s="25">
        <v>19332.150000000001</v>
      </c>
      <c r="N23" s="25">
        <v>5827.48</v>
      </c>
      <c r="O23" s="25">
        <v>-220.91</v>
      </c>
      <c r="P23" s="45">
        <v>-220.91</v>
      </c>
      <c r="Q23" s="46">
        <v>12075.39</v>
      </c>
      <c r="R23" s="45">
        <v>12085.57</v>
      </c>
      <c r="S23" s="45">
        <v>12186.24</v>
      </c>
      <c r="T23" s="45">
        <v>12314.2</v>
      </c>
      <c r="U23" s="45">
        <v>12314.2</v>
      </c>
      <c r="V23" s="45">
        <v>12314.2</v>
      </c>
      <c r="W23" s="45">
        <v>12314.2</v>
      </c>
      <c r="X23" s="45">
        <v>12314.2</v>
      </c>
      <c r="Y23" s="45">
        <v>12680.2</v>
      </c>
      <c r="Z23" s="45">
        <v>2052.88</v>
      </c>
      <c r="AA23" s="45">
        <v>0</v>
      </c>
      <c r="AB23" s="45">
        <v>0</v>
      </c>
      <c r="AC23" s="45">
        <v>9553.5400000000009</v>
      </c>
      <c r="AD23" s="45">
        <v>9872.83</v>
      </c>
      <c r="AE23" s="45">
        <v>9891.52</v>
      </c>
      <c r="AF23" s="19">
        <v>9914.73</v>
      </c>
      <c r="AG23" s="19">
        <v>9914.73</v>
      </c>
      <c r="AH23" s="25">
        <v>9914.73</v>
      </c>
      <c r="AI23" s="25">
        <v>9914.73</v>
      </c>
      <c r="AJ23" s="25">
        <v>9977.82</v>
      </c>
      <c r="AK23" s="25"/>
      <c r="AL23" s="25"/>
      <c r="AM23" s="25"/>
      <c r="AN23" s="25"/>
      <c r="AO23" s="25">
        <v>2159.13</v>
      </c>
      <c r="AP23" s="25">
        <v>2059.13</v>
      </c>
      <c r="AQ23" s="25">
        <v>2059.13</v>
      </c>
      <c r="AR23" s="25">
        <v>2059.13</v>
      </c>
      <c r="AS23" s="25">
        <v>2059.13</v>
      </c>
      <c r="AT23" s="25">
        <v>2059.13</v>
      </c>
      <c r="AU23" s="25">
        <v>2059.13</v>
      </c>
      <c r="AV23" s="25">
        <v>2059.13</v>
      </c>
      <c r="AW23" s="25"/>
      <c r="AX23" s="25"/>
      <c r="AY23" s="25"/>
      <c r="AZ23" s="25"/>
      <c r="BA23" s="25">
        <v>15327.16</v>
      </c>
      <c r="BB23" s="25">
        <v>15327.16</v>
      </c>
      <c r="BC23" s="25">
        <v>15327.16</v>
      </c>
      <c r="BD23" s="25">
        <v>15327.16</v>
      </c>
      <c r="BE23" s="25">
        <v>15327.16</v>
      </c>
      <c r="BF23" s="25">
        <v>15327.16</v>
      </c>
      <c r="BG23" s="25">
        <v>15327.16</v>
      </c>
      <c r="BH23" s="25">
        <v>15327.16</v>
      </c>
      <c r="BM23" s="59">
        <v>11273.89</v>
      </c>
      <c r="BN23" s="59">
        <v>11273.89</v>
      </c>
      <c r="BO23" s="59">
        <v>11273.89</v>
      </c>
      <c r="BP23" s="59">
        <v>11273.89</v>
      </c>
      <c r="BQ23" s="59">
        <v>11273.89</v>
      </c>
      <c r="BR23" s="59">
        <v>11273.89</v>
      </c>
      <c r="BS23" s="59"/>
      <c r="BT23" s="59"/>
      <c r="BU23" s="59"/>
      <c r="BV23" s="59"/>
      <c r="BW23" s="59"/>
      <c r="BX23" s="59"/>
      <c r="BY23" s="59">
        <v>12836.49</v>
      </c>
      <c r="BZ23" s="59">
        <v>13124.2</v>
      </c>
      <c r="CA23" s="59">
        <v>13755</v>
      </c>
      <c r="CB23" s="59">
        <v>13755</v>
      </c>
      <c r="CC23" s="59">
        <v>13755</v>
      </c>
      <c r="CD23" s="59">
        <v>15375.21</v>
      </c>
      <c r="CE23" s="60" t="s">
        <v>53</v>
      </c>
      <c r="CF23" s="60" t="s">
        <v>53</v>
      </c>
      <c r="CG23" s="60" t="s">
        <v>53</v>
      </c>
      <c r="CH23" s="60" t="s">
        <v>53</v>
      </c>
      <c r="CI23" s="60" t="s">
        <v>53</v>
      </c>
      <c r="CJ23" s="59">
        <v>-17550.150000000001</v>
      </c>
      <c r="CK23" s="59">
        <v>-17550.150000000001</v>
      </c>
      <c r="CL23" s="59">
        <v>-17550.150000000001</v>
      </c>
      <c r="CM23" s="59">
        <v>-15778.35</v>
      </c>
      <c r="CN23" s="59">
        <v>-15778.35</v>
      </c>
      <c r="CO23" s="59">
        <v>-15778.35</v>
      </c>
      <c r="CP23" s="59">
        <v>-15778.35</v>
      </c>
      <c r="CQ23" s="59">
        <v>-15191.85</v>
      </c>
      <c r="CR23" s="60" t="s">
        <v>53</v>
      </c>
      <c r="CS23" s="60" t="s">
        <v>53</v>
      </c>
      <c r="CT23" s="60" t="s">
        <v>53</v>
      </c>
      <c r="CU23" s="60" t="s">
        <v>53</v>
      </c>
    </row>
    <row r="24" spans="1:99" ht="15.75" customHeight="1" x14ac:dyDescent="0.25">
      <c r="Q24" s="17"/>
      <c r="S24" s="17"/>
      <c r="T24" s="17"/>
      <c r="U24" s="17"/>
      <c r="V24" s="17"/>
      <c r="W24" s="17"/>
      <c r="X24" s="17"/>
      <c r="Y24" s="17"/>
      <c r="AA24" s="17"/>
      <c r="AB24" s="17"/>
      <c r="AC24" s="17"/>
      <c r="AD24" s="17"/>
      <c r="AE24" s="17"/>
      <c r="AF24" s="14"/>
      <c r="AG24" s="16"/>
      <c r="AH24" s="1"/>
      <c r="AI24" s="1"/>
    </row>
    <row r="25" spans="1:99" ht="15.75" customHeight="1" x14ac:dyDescent="0.25">
      <c r="AE25" s="17"/>
      <c r="AF25" s="14"/>
      <c r="AG25" s="16"/>
      <c r="AH25" s="1"/>
      <c r="AI25" s="1"/>
      <c r="BY25" s="48"/>
      <c r="BZ25" s="48"/>
    </row>
    <row r="26" spans="1:99" ht="15.75" customHeight="1" x14ac:dyDescent="0.25">
      <c r="D26" s="1" t="s">
        <v>54</v>
      </c>
      <c r="AE26" s="17"/>
      <c r="AF26" s="14"/>
      <c r="AG26" s="16"/>
      <c r="AH26" s="1"/>
      <c r="AI26" s="1"/>
      <c r="BR26" s="61"/>
      <c r="BS26" s="61"/>
      <c r="BT26" s="61"/>
      <c r="BU26" s="61"/>
      <c r="BV26" s="61"/>
      <c r="BW26" s="61"/>
      <c r="BX26" s="61"/>
      <c r="CH26" s="48"/>
    </row>
    <row r="27" spans="1:99" ht="15.75" customHeight="1" x14ac:dyDescent="0.25">
      <c r="AE27" s="17"/>
      <c r="AF27" s="14"/>
      <c r="AG27" s="16"/>
      <c r="AH27" s="1"/>
      <c r="AI27" s="1"/>
    </row>
    <row r="28" spans="1:99" ht="15.75" customHeight="1" x14ac:dyDescent="0.25">
      <c r="AE28" s="17"/>
      <c r="AF28" s="14"/>
      <c r="AG28" s="16"/>
      <c r="AH28" s="15"/>
      <c r="AI28" s="1"/>
    </row>
    <row r="29" spans="1:99" ht="15.75" customHeight="1" x14ac:dyDescent="0.25">
      <c r="AE29" s="17"/>
      <c r="AF29" s="14"/>
      <c r="AG29" s="16"/>
      <c r="AH29" s="1"/>
      <c r="AI29" s="1"/>
    </row>
    <row r="30" spans="1:99" ht="15.75" customHeight="1" x14ac:dyDescent="0.25">
      <c r="AE30" s="17"/>
      <c r="AF30" s="14"/>
      <c r="AG30" s="16"/>
      <c r="AH30" s="1"/>
      <c r="AI30" s="1"/>
      <c r="CH30" s="48"/>
    </row>
    <row r="31" spans="1:99" ht="15.75" customHeight="1" x14ac:dyDescent="0.25">
      <c r="AE31" s="17"/>
      <c r="AF31" s="14"/>
      <c r="AG31" s="16"/>
      <c r="AH31" s="1"/>
      <c r="AI31" s="1"/>
    </row>
    <row r="32" spans="1:99" ht="15.75" customHeight="1" x14ac:dyDescent="0.25">
      <c r="AE32" s="17"/>
      <c r="AF32" s="14"/>
      <c r="AG32" s="16"/>
      <c r="AH32" s="1"/>
      <c r="AI32" s="1"/>
    </row>
    <row r="33" spans="31:35" ht="15.75" customHeight="1" x14ac:dyDescent="0.25">
      <c r="AE33" s="17"/>
      <c r="AF33" s="14"/>
      <c r="AG33" s="16"/>
      <c r="AH33" s="1"/>
      <c r="AI33" s="1"/>
    </row>
    <row r="34" spans="31:35" ht="15.75" customHeight="1" x14ac:dyDescent="0.25">
      <c r="AE34" s="17"/>
      <c r="AF34" s="14"/>
      <c r="AG34" s="16"/>
      <c r="AH34" s="1"/>
      <c r="AI34" s="1"/>
    </row>
    <row r="35" spans="31:35" ht="15.75" customHeight="1" x14ac:dyDescent="0.25">
      <c r="AE35" s="17"/>
      <c r="AF35" s="14"/>
      <c r="AG35" s="16"/>
      <c r="AH35" s="1"/>
      <c r="AI35" s="1"/>
    </row>
    <row r="36" spans="31:35" ht="15.75" customHeight="1" x14ac:dyDescent="0.25">
      <c r="AE36" s="17"/>
      <c r="AF36" s="14"/>
      <c r="AG36" s="16"/>
      <c r="AH36" s="1"/>
      <c r="AI36" s="1"/>
    </row>
    <row r="37" spans="31:35" ht="15.75" customHeight="1" x14ac:dyDescent="0.25">
      <c r="AF37" s="6"/>
      <c r="AG37" s="7"/>
      <c r="AH37" s="1"/>
      <c r="AI37" s="1"/>
    </row>
    <row r="38" spans="31:35" ht="15.75" customHeight="1" x14ac:dyDescent="0.25">
      <c r="AF38" s="6"/>
      <c r="AG38" s="7"/>
      <c r="AH38" s="1"/>
      <c r="AI38" s="1"/>
    </row>
    <row r="39" spans="31:35" ht="15.75" customHeight="1" x14ac:dyDescent="0.25">
      <c r="AF39" s="6"/>
      <c r="AG39" s="7"/>
      <c r="AH39" s="1"/>
      <c r="AI39" s="1"/>
    </row>
    <row r="40" spans="31:35" ht="15.75" customHeight="1" x14ac:dyDescent="0.25">
      <c r="AF40" s="6"/>
      <c r="AG40" s="7"/>
      <c r="AH40" s="1"/>
      <c r="AI40" s="1"/>
    </row>
    <row r="41" spans="31:35" ht="15.75" customHeight="1" x14ac:dyDescent="0.25">
      <c r="AF41" s="6"/>
      <c r="AG41" s="7"/>
      <c r="AH41" s="1"/>
      <c r="AI41" s="1"/>
    </row>
    <row r="42" spans="31:35" ht="15.75" customHeight="1" x14ac:dyDescent="0.25">
      <c r="AF42" s="6"/>
      <c r="AG42" s="7"/>
      <c r="AH42" s="1"/>
      <c r="AI42" s="1"/>
    </row>
    <row r="43" spans="31:35" ht="15.75" customHeight="1" x14ac:dyDescent="0.25">
      <c r="AF43" s="6"/>
      <c r="AG43" s="7"/>
      <c r="AH43" s="1"/>
      <c r="AI43" s="1"/>
    </row>
    <row r="44" spans="31:35" ht="15.75" customHeight="1" x14ac:dyDescent="0.25">
      <c r="AF44" s="6"/>
      <c r="AG44" s="7"/>
      <c r="AH44" s="1"/>
      <c r="AI44" s="1"/>
    </row>
    <row r="45" spans="31:35" ht="15.75" customHeight="1" x14ac:dyDescent="0.25">
      <c r="AF45" s="6"/>
      <c r="AG45" s="7"/>
      <c r="AH45" s="1"/>
      <c r="AI45" s="1"/>
    </row>
    <row r="46" spans="31:35" ht="15.75" customHeight="1" x14ac:dyDescent="0.25">
      <c r="AF46" s="6"/>
      <c r="AG46" s="7"/>
      <c r="AH46" s="1"/>
      <c r="AI46" s="1"/>
    </row>
    <row r="47" spans="31:35" ht="15.75" customHeight="1" x14ac:dyDescent="0.25">
      <c r="AF47" s="6"/>
      <c r="AG47" s="7"/>
      <c r="AH47" s="1"/>
      <c r="AI47" s="1"/>
    </row>
    <row r="48" spans="31:35" ht="15.75" customHeight="1" x14ac:dyDescent="0.25">
      <c r="AF48" s="6"/>
      <c r="AG48" s="7"/>
      <c r="AH48" s="1"/>
      <c r="AI48" s="1"/>
    </row>
    <row r="49" spans="32:35" ht="15.75" customHeight="1" x14ac:dyDescent="0.25">
      <c r="AF49" s="6"/>
      <c r="AG49" s="7"/>
      <c r="AH49" s="1"/>
      <c r="AI49" s="1"/>
    </row>
    <row r="50" spans="32:35" ht="15.75" customHeight="1" x14ac:dyDescent="0.25">
      <c r="AF50" s="6"/>
      <c r="AG50" s="7"/>
      <c r="AH50" s="1"/>
      <c r="AI50" s="1"/>
    </row>
    <row r="51" spans="32:35" ht="15.75" customHeight="1" x14ac:dyDescent="0.25">
      <c r="AF51" s="6"/>
      <c r="AG51" s="7"/>
      <c r="AH51" s="1"/>
      <c r="AI51" s="1"/>
    </row>
    <row r="52" spans="32:35" ht="15.75" customHeight="1" x14ac:dyDescent="0.25">
      <c r="AF52" s="6"/>
      <c r="AG52" s="7"/>
      <c r="AH52" s="1"/>
      <c r="AI52" s="1"/>
    </row>
    <row r="53" spans="32:35" ht="15.75" customHeight="1" x14ac:dyDescent="0.25">
      <c r="AF53" s="6"/>
      <c r="AG53" s="7"/>
      <c r="AH53" s="1"/>
      <c r="AI53" s="1"/>
    </row>
    <row r="54" spans="32:35" ht="15.75" customHeight="1" x14ac:dyDescent="0.25">
      <c r="AF54" s="6"/>
      <c r="AG54" s="7"/>
      <c r="AH54" s="1"/>
      <c r="AI54" s="1"/>
    </row>
    <row r="55" spans="32:35" ht="15.75" customHeight="1" x14ac:dyDescent="0.25">
      <c r="AF55" s="6"/>
      <c r="AG55" s="7"/>
      <c r="AH55" s="1"/>
      <c r="AI55" s="1"/>
    </row>
    <row r="56" spans="32:35" ht="15.75" customHeight="1" x14ac:dyDescent="0.25">
      <c r="AF56" s="6"/>
      <c r="AG56" s="7"/>
      <c r="AH56" s="1"/>
      <c r="AI56" s="1"/>
    </row>
    <row r="57" spans="32:35" ht="15.75" customHeight="1" x14ac:dyDescent="0.25">
      <c r="AF57" s="6"/>
      <c r="AG57" s="7"/>
      <c r="AH57" s="1"/>
      <c r="AI57" s="1"/>
    </row>
    <row r="58" spans="32:35" ht="15.75" customHeight="1" x14ac:dyDescent="0.25">
      <c r="AF58" s="6"/>
      <c r="AG58" s="7"/>
      <c r="AH58" s="1"/>
      <c r="AI58" s="1"/>
    </row>
    <row r="59" spans="32:35" ht="15.75" customHeight="1" x14ac:dyDescent="0.25">
      <c r="AF59" s="6"/>
      <c r="AG59" s="7"/>
      <c r="AH59" s="1"/>
      <c r="AI59" s="1"/>
    </row>
    <row r="60" spans="32:35" ht="15.75" customHeight="1" x14ac:dyDescent="0.25">
      <c r="AF60" s="6"/>
      <c r="AG60" s="7"/>
      <c r="AH60" s="1"/>
      <c r="AI60" s="1"/>
    </row>
    <row r="61" spans="32:35" ht="15.75" customHeight="1" x14ac:dyDescent="0.25">
      <c r="AF61" s="6"/>
      <c r="AG61" s="7"/>
      <c r="AH61" s="1"/>
      <c r="AI61" s="1"/>
    </row>
    <row r="62" spans="32:35" ht="15.75" customHeight="1" x14ac:dyDescent="0.25">
      <c r="AF62" s="6"/>
      <c r="AG62" s="7"/>
      <c r="AH62" s="1"/>
      <c r="AI62" s="1"/>
    </row>
    <row r="63" spans="32:35" ht="15.75" customHeight="1" x14ac:dyDescent="0.25">
      <c r="AF63" s="6"/>
      <c r="AG63" s="7"/>
      <c r="AH63" s="1"/>
      <c r="AI63" s="1"/>
    </row>
    <row r="64" spans="32:35" ht="15.75" customHeight="1" x14ac:dyDescent="0.25">
      <c r="AF64" s="6"/>
      <c r="AG64" s="7"/>
      <c r="AH64" s="1"/>
      <c r="AI64" s="1"/>
    </row>
    <row r="65" spans="32:35" ht="15.75" customHeight="1" x14ac:dyDescent="0.25">
      <c r="AF65" s="6"/>
      <c r="AG65" s="7"/>
      <c r="AH65" s="1"/>
      <c r="AI65" s="1"/>
    </row>
    <row r="66" spans="32:35" ht="15.75" customHeight="1" x14ac:dyDescent="0.25">
      <c r="AF66" s="6"/>
      <c r="AG66" s="7"/>
      <c r="AH66" s="1"/>
      <c r="AI66" s="1"/>
    </row>
    <row r="67" spans="32:35" ht="15.75" customHeight="1" x14ac:dyDescent="0.25">
      <c r="AF67" s="6"/>
      <c r="AG67" s="7"/>
      <c r="AH67" s="1"/>
      <c r="AI67" s="1"/>
    </row>
    <row r="68" spans="32:35" ht="15.75" customHeight="1" x14ac:dyDescent="0.25">
      <c r="AF68" s="6"/>
      <c r="AG68" s="7"/>
      <c r="AH68" s="1"/>
      <c r="AI68" s="1"/>
    </row>
    <row r="69" spans="32:35" ht="15.75" customHeight="1" x14ac:dyDescent="0.25">
      <c r="AF69" s="6"/>
      <c r="AG69" s="7"/>
      <c r="AH69" s="1"/>
      <c r="AI69" s="1"/>
    </row>
    <row r="70" spans="32:35" ht="15.75" customHeight="1" x14ac:dyDescent="0.25">
      <c r="AF70" s="6"/>
      <c r="AG70" s="7"/>
      <c r="AH70" s="1"/>
      <c r="AI70" s="1"/>
    </row>
    <row r="71" spans="32:35" ht="15.75" customHeight="1" x14ac:dyDescent="0.25">
      <c r="AF71" s="6"/>
      <c r="AG71" s="7"/>
      <c r="AH71" s="1"/>
      <c r="AI71" s="1"/>
    </row>
    <row r="72" spans="32:35" ht="15.75" customHeight="1" x14ac:dyDescent="0.25">
      <c r="AF72" s="6"/>
      <c r="AG72" s="7"/>
      <c r="AH72" s="1"/>
      <c r="AI72" s="1"/>
    </row>
    <row r="73" spans="32:35" ht="15.75" customHeight="1" x14ac:dyDescent="0.25">
      <c r="AF73" s="6"/>
      <c r="AG73" s="7"/>
      <c r="AH73" s="1"/>
      <c r="AI73" s="1"/>
    </row>
    <row r="74" spans="32:35" ht="15.75" customHeight="1" x14ac:dyDescent="0.25">
      <c r="AF74" s="6"/>
      <c r="AG74" s="7"/>
      <c r="AH74" s="1"/>
      <c r="AI74" s="1"/>
    </row>
    <row r="75" spans="32:35" ht="15.75" customHeight="1" x14ac:dyDescent="0.25">
      <c r="AF75" s="6"/>
      <c r="AG75" s="7"/>
      <c r="AH75" s="1"/>
      <c r="AI75" s="1"/>
    </row>
    <row r="76" spans="32:35" ht="15.75" customHeight="1" x14ac:dyDescent="0.25">
      <c r="AF76" s="6"/>
      <c r="AG76" s="7"/>
      <c r="AH76" s="1"/>
      <c r="AI76" s="1"/>
    </row>
    <row r="77" spans="32:35" ht="15.75" customHeight="1" x14ac:dyDescent="0.25">
      <c r="AF77" s="6"/>
      <c r="AG77" s="7"/>
      <c r="AH77" s="1"/>
      <c r="AI77" s="1"/>
    </row>
    <row r="78" spans="32:35" ht="15.75" customHeight="1" x14ac:dyDescent="0.25">
      <c r="AF78" s="6"/>
      <c r="AG78" s="7"/>
      <c r="AH78" s="1"/>
      <c r="AI78" s="1"/>
    </row>
    <row r="79" spans="32:35" ht="15.75" customHeight="1" x14ac:dyDescent="0.25">
      <c r="AF79" s="6"/>
      <c r="AG79" s="7"/>
      <c r="AH79" s="1"/>
      <c r="AI79" s="1"/>
    </row>
    <row r="80" spans="32:35" ht="15.75" customHeight="1" x14ac:dyDescent="0.25">
      <c r="AF80" s="6"/>
      <c r="AG80" s="7"/>
      <c r="AH80" s="1"/>
      <c r="AI80" s="1"/>
    </row>
    <row r="81" spans="32:35" ht="15.75" customHeight="1" x14ac:dyDescent="0.25">
      <c r="AF81" s="6"/>
      <c r="AG81" s="7"/>
      <c r="AH81" s="1"/>
      <c r="AI81" s="1"/>
    </row>
    <row r="82" spans="32:35" ht="15.75" customHeight="1" x14ac:dyDescent="0.25">
      <c r="AF82" s="6"/>
      <c r="AG82" s="7"/>
      <c r="AH82" s="1"/>
      <c r="AI82" s="1"/>
    </row>
    <row r="83" spans="32:35" ht="15.75" customHeight="1" x14ac:dyDescent="0.25">
      <c r="AF83" s="6"/>
      <c r="AG83" s="7"/>
      <c r="AH83" s="1"/>
      <c r="AI83" s="1"/>
    </row>
    <row r="84" spans="32:35" ht="15.75" customHeight="1" x14ac:dyDescent="0.25">
      <c r="AF84" s="6"/>
      <c r="AG84" s="7"/>
      <c r="AH84" s="1"/>
      <c r="AI84" s="1"/>
    </row>
    <row r="85" spans="32:35" ht="15.75" customHeight="1" x14ac:dyDescent="0.25">
      <c r="AF85" s="6"/>
      <c r="AG85" s="7"/>
      <c r="AH85" s="1"/>
      <c r="AI85" s="1"/>
    </row>
    <row r="86" spans="32:35" ht="15.75" customHeight="1" x14ac:dyDescent="0.25">
      <c r="AF86" s="6"/>
      <c r="AG86" s="7"/>
      <c r="AH86" s="1"/>
      <c r="AI86" s="1"/>
    </row>
    <row r="87" spans="32:35" ht="15.75" customHeight="1" x14ac:dyDescent="0.25">
      <c r="AF87" s="6"/>
      <c r="AG87" s="7"/>
      <c r="AH87" s="1"/>
      <c r="AI87" s="1"/>
    </row>
    <row r="88" spans="32:35" ht="15.75" customHeight="1" x14ac:dyDescent="0.25">
      <c r="AF88" s="6"/>
      <c r="AG88" s="7"/>
      <c r="AH88" s="1"/>
      <c r="AI88" s="1"/>
    </row>
    <row r="89" spans="32:35" ht="15.75" customHeight="1" x14ac:dyDescent="0.25">
      <c r="AF89" s="6"/>
      <c r="AG89" s="7"/>
      <c r="AH89" s="1"/>
      <c r="AI89" s="1"/>
    </row>
    <row r="90" spans="32:35" ht="15.75" customHeight="1" x14ac:dyDescent="0.25">
      <c r="AF90" s="6"/>
      <c r="AG90" s="7"/>
      <c r="AH90" s="1"/>
      <c r="AI90" s="1"/>
    </row>
    <row r="91" spans="32:35" ht="15.75" customHeight="1" x14ac:dyDescent="0.25">
      <c r="AF91" s="6"/>
      <c r="AG91" s="7"/>
      <c r="AH91" s="1"/>
      <c r="AI91" s="1"/>
    </row>
    <row r="92" spans="32:35" ht="15.75" customHeight="1" x14ac:dyDescent="0.25">
      <c r="AF92" s="6"/>
      <c r="AG92" s="7"/>
      <c r="AH92" s="1"/>
      <c r="AI92" s="1"/>
    </row>
    <row r="93" spans="32:35" ht="15.75" customHeight="1" x14ac:dyDescent="0.25">
      <c r="AF93" s="6"/>
      <c r="AG93" s="7"/>
      <c r="AH93" s="1"/>
      <c r="AI93" s="1"/>
    </row>
    <row r="94" spans="32:35" ht="15.75" customHeight="1" x14ac:dyDescent="0.25">
      <c r="AF94" s="6"/>
      <c r="AG94" s="7"/>
      <c r="AH94" s="1"/>
      <c r="AI94" s="1"/>
    </row>
    <row r="95" spans="32:35" ht="15.75" customHeight="1" x14ac:dyDescent="0.25">
      <c r="AF95" s="6"/>
      <c r="AG95" s="7"/>
      <c r="AH95" s="1"/>
      <c r="AI95" s="1"/>
    </row>
    <row r="96" spans="32:35" ht="15.75" customHeight="1" x14ac:dyDescent="0.25">
      <c r="AF96" s="6"/>
      <c r="AG96" s="7"/>
      <c r="AH96" s="1"/>
      <c r="AI96" s="1"/>
    </row>
    <row r="97" spans="32:35" ht="15.75" customHeight="1" x14ac:dyDescent="0.25">
      <c r="AF97" s="6"/>
      <c r="AG97" s="7"/>
      <c r="AH97" s="1"/>
      <c r="AI97" s="1"/>
    </row>
    <row r="98" spans="32:35" ht="15.75" customHeight="1" x14ac:dyDescent="0.25">
      <c r="AF98" s="6"/>
      <c r="AG98" s="7"/>
      <c r="AH98" s="1"/>
      <c r="AI98" s="1"/>
    </row>
    <row r="99" spans="32:35" ht="15.75" customHeight="1" x14ac:dyDescent="0.25">
      <c r="AF99" s="6"/>
      <c r="AG99" s="7"/>
      <c r="AH99" s="1"/>
      <c r="AI99" s="1"/>
    </row>
    <row r="100" spans="32:35" ht="15.75" customHeight="1" x14ac:dyDescent="0.25">
      <c r="AF100" s="6"/>
      <c r="AG100" s="7"/>
      <c r="AH100" s="1"/>
      <c r="AI100" s="1"/>
    </row>
    <row r="101" spans="32:35" ht="15.75" customHeight="1" x14ac:dyDescent="0.25">
      <c r="AF101" s="6"/>
      <c r="AG101" s="7"/>
      <c r="AH101" s="1"/>
      <c r="AI101" s="1"/>
    </row>
    <row r="102" spans="32:35" ht="15.75" customHeight="1" x14ac:dyDescent="0.25">
      <c r="AF102" s="6"/>
      <c r="AG102" s="7"/>
      <c r="AH102" s="1"/>
      <c r="AI102" s="1"/>
    </row>
    <row r="103" spans="32:35" ht="15.75" customHeight="1" x14ac:dyDescent="0.25">
      <c r="AF103" s="6"/>
      <c r="AG103" s="7"/>
      <c r="AH103" s="1"/>
      <c r="AI103" s="1"/>
    </row>
    <row r="104" spans="32:35" ht="15.75" customHeight="1" x14ac:dyDescent="0.25">
      <c r="AF104" s="6"/>
      <c r="AG104" s="7"/>
      <c r="AH104" s="1"/>
      <c r="AI104" s="1"/>
    </row>
    <row r="105" spans="32:35" ht="15.75" customHeight="1" x14ac:dyDescent="0.25">
      <c r="AF105" s="6"/>
      <c r="AG105" s="7"/>
      <c r="AH105" s="1"/>
      <c r="AI105" s="1"/>
    </row>
    <row r="106" spans="32:35" ht="15.75" customHeight="1" x14ac:dyDescent="0.25">
      <c r="AF106" s="6"/>
      <c r="AG106" s="7"/>
      <c r="AH106" s="1"/>
      <c r="AI106" s="1"/>
    </row>
    <row r="107" spans="32:35" ht="15.75" customHeight="1" x14ac:dyDescent="0.25">
      <c r="AF107" s="6"/>
      <c r="AG107" s="7"/>
      <c r="AH107" s="1"/>
      <c r="AI107" s="1"/>
    </row>
    <row r="108" spans="32:35" ht="15.75" customHeight="1" x14ac:dyDescent="0.25">
      <c r="AF108" s="6"/>
      <c r="AG108" s="7"/>
      <c r="AH108" s="1"/>
      <c r="AI108" s="1"/>
    </row>
    <row r="109" spans="32:35" ht="15.75" customHeight="1" x14ac:dyDescent="0.25">
      <c r="AF109" s="6"/>
      <c r="AG109" s="7"/>
      <c r="AH109" s="1"/>
      <c r="AI109" s="1"/>
    </row>
    <row r="110" spans="32:35" ht="15.75" customHeight="1" x14ac:dyDescent="0.25">
      <c r="AF110" s="6"/>
      <c r="AG110" s="7"/>
      <c r="AH110" s="1"/>
      <c r="AI110" s="1"/>
    </row>
    <row r="111" spans="32:35" ht="15.75" customHeight="1" x14ac:dyDescent="0.25">
      <c r="AF111" s="6"/>
      <c r="AG111" s="7"/>
      <c r="AH111" s="1"/>
      <c r="AI111" s="1"/>
    </row>
    <row r="112" spans="32:35" ht="15.75" customHeight="1" x14ac:dyDescent="0.25">
      <c r="AF112" s="6"/>
      <c r="AG112" s="7"/>
      <c r="AH112" s="1"/>
      <c r="AI112" s="1"/>
    </row>
    <row r="113" spans="32:35" ht="15.75" customHeight="1" x14ac:dyDescent="0.25">
      <c r="AF113" s="6"/>
      <c r="AG113" s="7"/>
      <c r="AH113" s="1"/>
      <c r="AI113" s="1"/>
    </row>
    <row r="114" spans="32:35" ht="15.75" customHeight="1" x14ac:dyDescent="0.25">
      <c r="AF114" s="6"/>
      <c r="AG114" s="7"/>
      <c r="AH114" s="1"/>
      <c r="AI114" s="1"/>
    </row>
    <row r="115" spans="32:35" ht="15.75" customHeight="1" x14ac:dyDescent="0.25">
      <c r="AF115" s="6"/>
      <c r="AG115" s="7"/>
      <c r="AH115" s="1"/>
      <c r="AI115" s="1"/>
    </row>
    <row r="116" spans="32:35" ht="15.75" customHeight="1" x14ac:dyDescent="0.25">
      <c r="AF116" s="6"/>
      <c r="AG116" s="7"/>
      <c r="AH116" s="1"/>
      <c r="AI116" s="1"/>
    </row>
    <row r="117" spans="32:35" ht="15.75" customHeight="1" x14ac:dyDescent="0.25">
      <c r="AF117" s="6"/>
      <c r="AG117" s="7"/>
      <c r="AH117" s="1"/>
      <c r="AI117" s="1"/>
    </row>
    <row r="118" spans="32:35" ht="15.75" customHeight="1" x14ac:dyDescent="0.25">
      <c r="AF118" s="6"/>
      <c r="AG118" s="7"/>
      <c r="AH118" s="1"/>
      <c r="AI118" s="1"/>
    </row>
    <row r="119" spans="32:35" ht="15.75" customHeight="1" x14ac:dyDescent="0.25">
      <c r="AF119" s="6"/>
      <c r="AG119" s="7"/>
      <c r="AH119" s="1"/>
      <c r="AI119" s="1"/>
    </row>
    <row r="120" spans="32:35" ht="15.75" customHeight="1" x14ac:dyDescent="0.25">
      <c r="AF120" s="6"/>
      <c r="AG120" s="7"/>
      <c r="AH120" s="1"/>
      <c r="AI120" s="1"/>
    </row>
    <row r="121" spans="32:35" ht="15.75" customHeight="1" x14ac:dyDescent="0.25">
      <c r="AF121" s="6"/>
      <c r="AG121" s="7"/>
      <c r="AH121" s="1"/>
      <c r="AI121" s="1"/>
    </row>
    <row r="122" spans="32:35" ht="15.75" customHeight="1" x14ac:dyDescent="0.25">
      <c r="AF122" s="6"/>
      <c r="AG122" s="7"/>
      <c r="AH122" s="1"/>
      <c r="AI122" s="1"/>
    </row>
    <row r="123" spans="32:35" ht="15.75" customHeight="1" x14ac:dyDescent="0.25">
      <c r="AF123" s="6"/>
      <c r="AG123" s="7"/>
      <c r="AH123" s="1"/>
      <c r="AI123" s="1"/>
    </row>
    <row r="124" spans="32:35" ht="15.75" customHeight="1" x14ac:dyDescent="0.25">
      <c r="AF124" s="6"/>
      <c r="AG124" s="7"/>
      <c r="AH124" s="1"/>
      <c r="AI124" s="1"/>
    </row>
    <row r="125" spans="32:35" ht="15.75" customHeight="1" x14ac:dyDescent="0.25">
      <c r="AF125" s="6"/>
      <c r="AG125" s="7"/>
      <c r="AH125" s="1"/>
      <c r="AI125" s="1"/>
    </row>
    <row r="126" spans="32:35" ht="15.75" customHeight="1" x14ac:dyDescent="0.25">
      <c r="AF126" s="6"/>
      <c r="AG126" s="7"/>
      <c r="AH126" s="1"/>
      <c r="AI126" s="1"/>
    </row>
    <row r="127" spans="32:35" ht="15.75" customHeight="1" x14ac:dyDescent="0.25">
      <c r="AF127" s="6"/>
      <c r="AG127" s="7"/>
      <c r="AH127" s="1"/>
      <c r="AI127" s="1"/>
    </row>
    <row r="128" spans="32:35" ht="15.75" customHeight="1" x14ac:dyDescent="0.25">
      <c r="AF128" s="6"/>
      <c r="AG128" s="7"/>
      <c r="AH128" s="1"/>
      <c r="AI128" s="1"/>
    </row>
    <row r="129" spans="32:35" ht="15.75" customHeight="1" x14ac:dyDescent="0.25">
      <c r="AF129" s="6"/>
      <c r="AG129" s="7"/>
      <c r="AH129" s="1"/>
      <c r="AI129" s="1"/>
    </row>
    <row r="130" spans="32:35" ht="15.75" customHeight="1" x14ac:dyDescent="0.25">
      <c r="AF130" s="6"/>
      <c r="AG130" s="7"/>
      <c r="AH130" s="1"/>
      <c r="AI130" s="1"/>
    </row>
    <row r="131" spans="32:35" ht="15.75" customHeight="1" x14ac:dyDescent="0.25">
      <c r="AF131" s="6"/>
      <c r="AG131" s="7"/>
      <c r="AH131" s="1"/>
      <c r="AI131" s="1"/>
    </row>
    <row r="132" spans="32:35" ht="15.75" customHeight="1" x14ac:dyDescent="0.25">
      <c r="AF132" s="6"/>
      <c r="AG132" s="7"/>
      <c r="AH132" s="1"/>
      <c r="AI132" s="1"/>
    </row>
    <row r="133" spans="32:35" ht="15.75" customHeight="1" x14ac:dyDescent="0.25">
      <c r="AF133" s="6"/>
      <c r="AG133" s="7"/>
      <c r="AH133" s="1"/>
      <c r="AI133" s="1"/>
    </row>
    <row r="134" spans="32:35" ht="15.75" customHeight="1" x14ac:dyDescent="0.25">
      <c r="AF134" s="6"/>
      <c r="AG134" s="7"/>
      <c r="AH134" s="1"/>
      <c r="AI134" s="1"/>
    </row>
    <row r="135" spans="32:35" ht="15.75" customHeight="1" x14ac:dyDescent="0.25">
      <c r="AF135" s="6"/>
      <c r="AG135" s="7"/>
      <c r="AH135" s="1"/>
      <c r="AI135" s="1"/>
    </row>
    <row r="136" spans="32:35" ht="15.75" customHeight="1" x14ac:dyDescent="0.25">
      <c r="AF136" s="6"/>
      <c r="AG136" s="7"/>
      <c r="AH136" s="1"/>
      <c r="AI136" s="1"/>
    </row>
    <row r="137" spans="32:35" ht="15.75" customHeight="1" x14ac:dyDescent="0.25">
      <c r="AF137" s="6"/>
      <c r="AG137" s="7"/>
      <c r="AH137" s="1"/>
      <c r="AI137" s="1"/>
    </row>
    <row r="138" spans="32:35" ht="15.75" customHeight="1" x14ac:dyDescent="0.25">
      <c r="AF138" s="6"/>
      <c r="AG138" s="7"/>
      <c r="AH138" s="1"/>
      <c r="AI138" s="1"/>
    </row>
    <row r="139" spans="32:35" ht="15.75" customHeight="1" x14ac:dyDescent="0.25">
      <c r="AF139" s="6"/>
      <c r="AG139" s="7"/>
      <c r="AH139" s="1"/>
      <c r="AI139" s="1"/>
    </row>
    <row r="140" spans="32:35" ht="15.75" customHeight="1" x14ac:dyDescent="0.25">
      <c r="AF140" s="6"/>
      <c r="AG140" s="7"/>
      <c r="AH140" s="1"/>
      <c r="AI140" s="1"/>
    </row>
    <row r="141" spans="32:35" ht="15.75" customHeight="1" x14ac:dyDescent="0.25">
      <c r="AF141" s="6"/>
      <c r="AG141" s="7"/>
      <c r="AH141" s="1"/>
      <c r="AI141" s="1"/>
    </row>
    <row r="142" spans="32:35" ht="15.75" customHeight="1" x14ac:dyDescent="0.25">
      <c r="AF142" s="6"/>
      <c r="AG142" s="7"/>
      <c r="AH142" s="1"/>
      <c r="AI142" s="1"/>
    </row>
    <row r="143" spans="32:35" ht="15.75" customHeight="1" x14ac:dyDescent="0.25">
      <c r="AF143" s="6"/>
      <c r="AG143" s="7"/>
      <c r="AH143" s="1"/>
      <c r="AI143" s="1"/>
    </row>
    <row r="144" spans="32:35" ht="15.75" customHeight="1" x14ac:dyDescent="0.25">
      <c r="AF144" s="6"/>
      <c r="AG144" s="7"/>
      <c r="AH144" s="1"/>
      <c r="AI144" s="1"/>
    </row>
    <row r="145" spans="32:35" ht="15.75" customHeight="1" x14ac:dyDescent="0.25">
      <c r="AF145" s="6"/>
      <c r="AG145" s="7"/>
      <c r="AH145" s="1"/>
      <c r="AI145" s="1"/>
    </row>
    <row r="146" spans="32:35" ht="15.75" customHeight="1" x14ac:dyDescent="0.25">
      <c r="AF146" s="6"/>
      <c r="AG146" s="7"/>
      <c r="AH146" s="1"/>
      <c r="AI146" s="1"/>
    </row>
    <row r="147" spans="32:35" ht="15.75" customHeight="1" x14ac:dyDescent="0.25">
      <c r="AF147" s="6"/>
      <c r="AG147" s="7"/>
      <c r="AH147" s="1"/>
      <c r="AI147" s="1"/>
    </row>
    <row r="148" spans="32:35" ht="15.75" customHeight="1" x14ac:dyDescent="0.25">
      <c r="AF148" s="6"/>
      <c r="AG148" s="7"/>
      <c r="AH148" s="1"/>
      <c r="AI148" s="1"/>
    </row>
    <row r="149" spans="32:35" ht="15.75" customHeight="1" x14ac:dyDescent="0.25">
      <c r="AF149" s="6"/>
      <c r="AG149" s="7"/>
      <c r="AH149" s="1"/>
      <c r="AI149" s="1"/>
    </row>
    <row r="150" spans="32:35" ht="15.75" customHeight="1" x14ac:dyDescent="0.25">
      <c r="AF150" s="6"/>
      <c r="AG150" s="7"/>
      <c r="AH150" s="1"/>
      <c r="AI150" s="1"/>
    </row>
    <row r="151" spans="32:35" ht="15.75" customHeight="1" x14ac:dyDescent="0.25">
      <c r="AF151" s="6"/>
      <c r="AG151" s="7"/>
      <c r="AH151" s="1"/>
      <c r="AI151" s="1"/>
    </row>
    <row r="152" spans="32:35" ht="15.75" customHeight="1" x14ac:dyDescent="0.25">
      <c r="AF152" s="6"/>
      <c r="AG152" s="7"/>
      <c r="AH152" s="1"/>
      <c r="AI152" s="1"/>
    </row>
    <row r="153" spans="32:35" ht="15.75" customHeight="1" x14ac:dyDescent="0.25">
      <c r="AF153" s="6"/>
      <c r="AG153" s="7"/>
      <c r="AH153" s="1"/>
      <c r="AI153" s="1"/>
    </row>
    <row r="154" spans="32:35" ht="15.75" customHeight="1" x14ac:dyDescent="0.25">
      <c r="AF154" s="6"/>
      <c r="AG154" s="7"/>
      <c r="AH154" s="1"/>
      <c r="AI154" s="1"/>
    </row>
    <row r="155" spans="32:35" ht="15.75" customHeight="1" x14ac:dyDescent="0.25">
      <c r="AF155" s="6"/>
      <c r="AG155" s="7"/>
      <c r="AH155" s="1"/>
      <c r="AI155" s="1"/>
    </row>
    <row r="156" spans="32:35" ht="15.75" customHeight="1" x14ac:dyDescent="0.25">
      <c r="AF156" s="6"/>
      <c r="AG156" s="7"/>
      <c r="AH156" s="1"/>
      <c r="AI156" s="1"/>
    </row>
    <row r="157" spans="32:35" ht="15.75" customHeight="1" x14ac:dyDescent="0.25">
      <c r="AF157" s="6"/>
      <c r="AG157" s="7"/>
      <c r="AH157" s="1"/>
      <c r="AI157" s="1"/>
    </row>
    <row r="158" spans="32:35" ht="15.75" customHeight="1" x14ac:dyDescent="0.25">
      <c r="AF158" s="6"/>
      <c r="AG158" s="7"/>
      <c r="AH158" s="1"/>
      <c r="AI158" s="1"/>
    </row>
    <row r="159" spans="32:35" ht="15.75" customHeight="1" x14ac:dyDescent="0.25">
      <c r="AF159" s="6"/>
      <c r="AG159" s="7"/>
      <c r="AH159" s="1"/>
      <c r="AI159" s="1"/>
    </row>
    <row r="160" spans="32:35" ht="15.75" customHeight="1" x14ac:dyDescent="0.25">
      <c r="AF160" s="6"/>
      <c r="AG160" s="7"/>
      <c r="AH160" s="1"/>
      <c r="AI160" s="1"/>
    </row>
    <row r="161" spans="32:35" ht="15.75" customHeight="1" x14ac:dyDescent="0.25">
      <c r="AF161" s="6"/>
      <c r="AG161" s="7"/>
      <c r="AH161" s="1"/>
      <c r="AI161" s="1"/>
    </row>
    <row r="162" spans="32:35" ht="15.75" customHeight="1" x14ac:dyDescent="0.25">
      <c r="AF162" s="6"/>
      <c r="AG162" s="7"/>
      <c r="AH162" s="1"/>
      <c r="AI162" s="1"/>
    </row>
    <row r="163" spans="32:35" ht="15.75" customHeight="1" x14ac:dyDescent="0.25">
      <c r="AF163" s="6"/>
      <c r="AG163" s="7"/>
      <c r="AH163" s="1"/>
      <c r="AI163" s="1"/>
    </row>
    <row r="164" spans="32:35" ht="15.75" customHeight="1" x14ac:dyDescent="0.25">
      <c r="AF164" s="6"/>
      <c r="AG164" s="7"/>
      <c r="AH164" s="1"/>
      <c r="AI164" s="1"/>
    </row>
    <row r="165" spans="32:35" ht="15.75" customHeight="1" x14ac:dyDescent="0.25">
      <c r="AF165" s="6"/>
      <c r="AG165" s="7"/>
      <c r="AH165" s="1"/>
      <c r="AI165" s="1"/>
    </row>
    <row r="166" spans="32:35" ht="15.75" customHeight="1" x14ac:dyDescent="0.25">
      <c r="AF166" s="6"/>
      <c r="AG166" s="7"/>
      <c r="AH166" s="1"/>
      <c r="AI166" s="1"/>
    </row>
    <row r="167" spans="32:35" ht="15.75" customHeight="1" x14ac:dyDescent="0.25">
      <c r="AF167" s="6"/>
      <c r="AG167" s="7"/>
      <c r="AH167" s="1"/>
      <c r="AI167" s="1"/>
    </row>
    <row r="168" spans="32:35" ht="15.75" customHeight="1" x14ac:dyDescent="0.25">
      <c r="AF168" s="6"/>
      <c r="AG168" s="7"/>
      <c r="AH168" s="1"/>
      <c r="AI168" s="1"/>
    </row>
    <row r="169" spans="32:35" ht="15.75" customHeight="1" x14ac:dyDescent="0.25">
      <c r="AF169" s="6"/>
      <c r="AG169" s="7"/>
      <c r="AH169" s="1"/>
      <c r="AI169" s="1"/>
    </row>
    <row r="170" spans="32:35" ht="15.75" customHeight="1" x14ac:dyDescent="0.25">
      <c r="AF170" s="6"/>
      <c r="AG170" s="7"/>
      <c r="AH170" s="1"/>
      <c r="AI170" s="1"/>
    </row>
    <row r="171" spans="32:35" ht="15.75" customHeight="1" x14ac:dyDescent="0.25">
      <c r="AF171" s="6"/>
      <c r="AG171" s="7"/>
      <c r="AH171" s="1"/>
      <c r="AI171" s="1"/>
    </row>
    <row r="172" spans="32:35" ht="15.75" customHeight="1" x14ac:dyDescent="0.25">
      <c r="AF172" s="6"/>
      <c r="AG172" s="7"/>
      <c r="AH172" s="1"/>
      <c r="AI172" s="1"/>
    </row>
    <row r="173" spans="32:35" ht="15.75" customHeight="1" x14ac:dyDescent="0.25">
      <c r="AF173" s="6"/>
      <c r="AG173" s="7"/>
      <c r="AH173" s="1"/>
      <c r="AI173" s="1"/>
    </row>
    <row r="174" spans="32:35" ht="15.75" customHeight="1" x14ac:dyDescent="0.25">
      <c r="AF174" s="6"/>
      <c r="AG174" s="7"/>
      <c r="AH174" s="1"/>
      <c r="AI174" s="1"/>
    </row>
    <row r="175" spans="32:35" ht="15.75" customHeight="1" x14ac:dyDescent="0.25">
      <c r="AF175" s="6"/>
      <c r="AG175" s="7"/>
      <c r="AH175" s="1"/>
      <c r="AI175" s="1"/>
    </row>
    <row r="176" spans="32:35" ht="15.75" customHeight="1" x14ac:dyDescent="0.25">
      <c r="AF176" s="6"/>
      <c r="AG176" s="7"/>
      <c r="AH176" s="1"/>
      <c r="AI176" s="1"/>
    </row>
    <row r="177" spans="32:35" ht="15.75" customHeight="1" x14ac:dyDescent="0.25">
      <c r="AF177" s="6"/>
      <c r="AG177" s="7"/>
      <c r="AH177" s="1"/>
      <c r="AI177" s="1"/>
    </row>
    <row r="178" spans="32:35" ht="15.75" customHeight="1" x14ac:dyDescent="0.25">
      <c r="AF178" s="6"/>
      <c r="AG178" s="7"/>
      <c r="AH178" s="1"/>
      <c r="AI178" s="1"/>
    </row>
    <row r="179" spans="32:35" ht="15.75" customHeight="1" x14ac:dyDescent="0.25">
      <c r="AF179" s="6"/>
      <c r="AG179" s="7"/>
      <c r="AH179" s="1"/>
      <c r="AI179" s="1"/>
    </row>
    <row r="180" spans="32:35" ht="15.75" customHeight="1" x14ac:dyDescent="0.25">
      <c r="AF180" s="6"/>
      <c r="AG180" s="7"/>
      <c r="AH180" s="1"/>
      <c r="AI180" s="1"/>
    </row>
    <row r="181" spans="32:35" ht="15.75" customHeight="1" x14ac:dyDescent="0.25">
      <c r="AF181" s="6"/>
      <c r="AG181" s="7"/>
      <c r="AH181" s="1"/>
      <c r="AI181" s="1"/>
    </row>
    <row r="182" spans="32:35" ht="15.75" customHeight="1" x14ac:dyDescent="0.25">
      <c r="AF182" s="6"/>
      <c r="AG182" s="7"/>
      <c r="AH182" s="1"/>
      <c r="AI182" s="1"/>
    </row>
    <row r="183" spans="32:35" ht="15.75" customHeight="1" x14ac:dyDescent="0.25">
      <c r="AF183" s="6"/>
      <c r="AG183" s="7"/>
      <c r="AH183" s="1"/>
      <c r="AI183" s="1"/>
    </row>
    <row r="184" spans="32:35" ht="15.75" customHeight="1" x14ac:dyDescent="0.25">
      <c r="AF184" s="6"/>
      <c r="AG184" s="7"/>
      <c r="AH184" s="1"/>
      <c r="AI184" s="1"/>
    </row>
    <row r="185" spans="32:35" ht="15.75" customHeight="1" x14ac:dyDescent="0.25">
      <c r="AF185" s="6"/>
      <c r="AG185" s="7"/>
      <c r="AH185" s="1"/>
      <c r="AI185" s="1"/>
    </row>
    <row r="186" spans="32:35" ht="15.75" customHeight="1" x14ac:dyDescent="0.25">
      <c r="AF186" s="6"/>
      <c r="AG186" s="7"/>
      <c r="AH186" s="1"/>
      <c r="AI186" s="1"/>
    </row>
    <row r="187" spans="32:35" ht="15.75" customHeight="1" x14ac:dyDescent="0.25">
      <c r="AF187" s="6"/>
      <c r="AG187" s="7"/>
      <c r="AH187" s="1"/>
      <c r="AI187" s="1"/>
    </row>
    <row r="188" spans="32:35" ht="15.75" customHeight="1" x14ac:dyDescent="0.25">
      <c r="AF188" s="6"/>
      <c r="AG188" s="7"/>
      <c r="AH188" s="1"/>
      <c r="AI188" s="1"/>
    </row>
    <row r="189" spans="32:35" ht="15.75" customHeight="1" x14ac:dyDescent="0.25">
      <c r="AF189" s="6"/>
      <c r="AG189" s="7"/>
      <c r="AH189" s="1"/>
      <c r="AI189" s="1"/>
    </row>
    <row r="190" spans="32:35" ht="15.75" customHeight="1" x14ac:dyDescent="0.25">
      <c r="AF190" s="6"/>
      <c r="AG190" s="7"/>
      <c r="AH190" s="1"/>
      <c r="AI190" s="1"/>
    </row>
    <row r="191" spans="32:35" ht="15.75" customHeight="1" x14ac:dyDescent="0.25">
      <c r="AF191" s="6"/>
      <c r="AG191" s="7"/>
      <c r="AH191" s="1"/>
      <c r="AI191" s="1"/>
    </row>
    <row r="192" spans="32:35" ht="15.75" customHeight="1" x14ac:dyDescent="0.25">
      <c r="AF192" s="6"/>
      <c r="AG192" s="7"/>
      <c r="AH192" s="1"/>
      <c r="AI192" s="1"/>
    </row>
    <row r="193" spans="32:35" ht="15.75" customHeight="1" x14ac:dyDescent="0.25">
      <c r="AF193" s="6"/>
      <c r="AG193" s="7"/>
      <c r="AH193" s="1"/>
      <c r="AI193" s="1"/>
    </row>
    <row r="194" spans="32:35" ht="15.75" customHeight="1" x14ac:dyDescent="0.25">
      <c r="AF194" s="6"/>
      <c r="AG194" s="7"/>
      <c r="AH194" s="1"/>
      <c r="AI194" s="1"/>
    </row>
    <row r="195" spans="32:35" ht="15.75" customHeight="1" x14ac:dyDescent="0.25">
      <c r="AF195" s="6"/>
      <c r="AG195" s="7"/>
      <c r="AH195" s="1"/>
      <c r="AI195" s="1"/>
    </row>
    <row r="196" spans="32:35" ht="15.75" customHeight="1" x14ac:dyDescent="0.25">
      <c r="AF196" s="6"/>
      <c r="AG196" s="7"/>
      <c r="AH196" s="1"/>
      <c r="AI196" s="1"/>
    </row>
    <row r="197" spans="32:35" ht="15.75" customHeight="1" x14ac:dyDescent="0.25">
      <c r="AF197" s="6"/>
      <c r="AG197" s="7"/>
      <c r="AH197" s="1"/>
      <c r="AI197" s="1"/>
    </row>
    <row r="198" spans="32:35" ht="15.75" customHeight="1" x14ac:dyDescent="0.25">
      <c r="AF198" s="6"/>
      <c r="AG198" s="7"/>
      <c r="AH198" s="1"/>
      <c r="AI198" s="1"/>
    </row>
    <row r="199" spans="32:35" ht="15.75" customHeight="1" x14ac:dyDescent="0.25">
      <c r="AF199" s="6"/>
      <c r="AG199" s="7"/>
      <c r="AH199" s="1"/>
      <c r="AI199" s="1"/>
    </row>
    <row r="200" spans="32:35" ht="15.75" customHeight="1" x14ac:dyDescent="0.25">
      <c r="AF200" s="6"/>
      <c r="AG200" s="7"/>
      <c r="AH200" s="1"/>
      <c r="AI200" s="1"/>
    </row>
    <row r="201" spans="32:35" ht="15.75" customHeight="1" x14ac:dyDescent="0.25">
      <c r="AF201" s="6"/>
      <c r="AG201" s="7"/>
      <c r="AH201" s="1"/>
      <c r="AI201" s="1"/>
    </row>
    <row r="202" spans="32:35" ht="15.75" customHeight="1" x14ac:dyDescent="0.25">
      <c r="AF202" s="6"/>
      <c r="AG202" s="7"/>
      <c r="AH202" s="1"/>
      <c r="AI202" s="1"/>
    </row>
    <row r="203" spans="32:35" ht="15.75" customHeight="1" x14ac:dyDescent="0.25">
      <c r="AF203" s="6"/>
      <c r="AG203" s="7"/>
      <c r="AH203" s="1"/>
      <c r="AI203" s="1"/>
    </row>
    <row r="204" spans="32:35" ht="15.75" customHeight="1" x14ac:dyDescent="0.25">
      <c r="AF204" s="6"/>
      <c r="AG204" s="7"/>
      <c r="AH204" s="1"/>
      <c r="AI204" s="1"/>
    </row>
    <row r="205" spans="32:35" ht="15.75" customHeight="1" x14ac:dyDescent="0.25">
      <c r="AF205" s="6"/>
      <c r="AG205" s="7"/>
      <c r="AH205" s="1"/>
      <c r="AI205" s="1"/>
    </row>
    <row r="206" spans="32:35" ht="15.75" customHeight="1" x14ac:dyDescent="0.25">
      <c r="AF206" s="6"/>
      <c r="AG206" s="7"/>
      <c r="AH206" s="1"/>
      <c r="AI206" s="1"/>
    </row>
    <row r="207" spans="32:35" ht="15.75" customHeight="1" x14ac:dyDescent="0.25">
      <c r="AF207" s="6"/>
      <c r="AG207" s="7"/>
      <c r="AH207" s="1"/>
      <c r="AI207" s="1"/>
    </row>
    <row r="208" spans="32:35" ht="15.75" customHeight="1" x14ac:dyDescent="0.25">
      <c r="AF208" s="6"/>
      <c r="AG208" s="7"/>
      <c r="AH208" s="1"/>
      <c r="AI208" s="1"/>
    </row>
    <row r="209" spans="32:35" ht="15.75" customHeight="1" x14ac:dyDescent="0.25">
      <c r="AF209" s="6"/>
      <c r="AG209" s="7"/>
      <c r="AH209" s="1"/>
      <c r="AI209" s="1"/>
    </row>
    <row r="210" spans="32:35" ht="15.75" customHeight="1" x14ac:dyDescent="0.25">
      <c r="AF210" s="6"/>
      <c r="AG210" s="7"/>
      <c r="AH210" s="1"/>
      <c r="AI210" s="1"/>
    </row>
    <row r="211" spans="32:35" ht="15.75" customHeight="1" x14ac:dyDescent="0.25">
      <c r="AF211" s="6"/>
      <c r="AG211" s="7"/>
      <c r="AH211" s="1"/>
      <c r="AI211" s="1"/>
    </row>
    <row r="212" spans="32:35" ht="15.75" customHeight="1" x14ac:dyDescent="0.25">
      <c r="AF212" s="6"/>
      <c r="AG212" s="7"/>
      <c r="AH212" s="1"/>
      <c r="AI212" s="1"/>
    </row>
    <row r="213" spans="32:35" ht="15.75" customHeight="1" x14ac:dyDescent="0.25">
      <c r="AF213" s="6"/>
      <c r="AG213" s="7"/>
      <c r="AH213" s="1"/>
      <c r="AI213" s="1"/>
    </row>
    <row r="214" spans="32:35" ht="15.75" customHeight="1" x14ac:dyDescent="0.25">
      <c r="AF214" s="6"/>
      <c r="AG214" s="7"/>
      <c r="AH214" s="1"/>
      <c r="AI214" s="1"/>
    </row>
    <row r="215" spans="32:35" ht="15.75" customHeight="1" x14ac:dyDescent="0.25">
      <c r="AF215" s="6"/>
      <c r="AG215" s="7"/>
      <c r="AH215" s="1"/>
      <c r="AI215" s="1"/>
    </row>
    <row r="216" spans="32:35" ht="15.75" customHeight="1" x14ac:dyDescent="0.25">
      <c r="AF216" s="6"/>
      <c r="AG216" s="7"/>
      <c r="AH216" s="1"/>
      <c r="AI216" s="1"/>
    </row>
    <row r="217" spans="32:35" ht="15.75" customHeight="1" x14ac:dyDescent="0.25">
      <c r="AF217" s="6"/>
      <c r="AG217" s="7"/>
      <c r="AH217" s="1"/>
      <c r="AI217" s="1"/>
    </row>
    <row r="218" spans="32:35" ht="15.75" customHeight="1" x14ac:dyDescent="0.25">
      <c r="AF218" s="6"/>
      <c r="AG218" s="7"/>
      <c r="AH218" s="1"/>
      <c r="AI218" s="1"/>
    </row>
    <row r="219" spans="32:35" ht="15.75" customHeight="1" x14ac:dyDescent="0.25">
      <c r="AF219" s="6"/>
      <c r="AG219" s="7"/>
      <c r="AH219" s="1"/>
      <c r="AI219" s="1"/>
    </row>
    <row r="220" spans="32:35" ht="15.75" customHeight="1" x14ac:dyDescent="0.25">
      <c r="AF220" s="6"/>
      <c r="AG220" s="7"/>
      <c r="AH220" s="1"/>
      <c r="AI220" s="1"/>
    </row>
    <row r="221" spans="32:35" ht="15.75" customHeight="1" x14ac:dyDescent="0.25">
      <c r="AF221" s="6"/>
      <c r="AG221" s="7"/>
      <c r="AH221" s="1"/>
      <c r="AI221" s="1"/>
    </row>
    <row r="222" spans="32:35" ht="15.75" customHeight="1" x14ac:dyDescent="0.25">
      <c r="AF222" s="6"/>
      <c r="AG222" s="7"/>
      <c r="AH222" s="1"/>
      <c r="AI222" s="1"/>
    </row>
    <row r="223" spans="32:35" ht="15.75" customHeight="1" x14ac:dyDescent="0.25">
      <c r="AF223" s="6"/>
      <c r="AG223" s="7"/>
      <c r="AH223" s="1"/>
      <c r="AI223" s="1"/>
    </row>
    <row r="224" spans="32:35" ht="15.75" customHeight="1" x14ac:dyDescent="0.25">
      <c r="AF224" s="6"/>
      <c r="AG224" s="7"/>
      <c r="AH224" s="1"/>
      <c r="AI224" s="1"/>
    </row>
    <row r="225" spans="32:35" ht="15.75" customHeight="1" x14ac:dyDescent="0.25">
      <c r="AF225" s="6"/>
      <c r="AG225" s="7"/>
      <c r="AH225" s="1"/>
      <c r="AI225" s="1"/>
    </row>
    <row r="226" spans="32:35" ht="15.75" customHeight="1" x14ac:dyDescent="0.25">
      <c r="AF226" s="6"/>
      <c r="AG226" s="7"/>
      <c r="AH226" s="1"/>
      <c r="AI226" s="1"/>
    </row>
    <row r="227" spans="32:35" ht="15.75" customHeight="1" x14ac:dyDescent="0.25">
      <c r="AF227" s="6"/>
      <c r="AG227" s="7"/>
      <c r="AH227" s="1"/>
      <c r="AI227" s="1"/>
    </row>
    <row r="228" spans="32:35" ht="15.75" customHeight="1" x14ac:dyDescent="0.25">
      <c r="AF228" s="6"/>
      <c r="AG228" s="7"/>
      <c r="AH228" s="1"/>
      <c r="AI228" s="1"/>
    </row>
    <row r="229" spans="32:35" ht="15.75" customHeight="1" x14ac:dyDescent="0.25">
      <c r="AF229" s="6"/>
      <c r="AG229" s="7"/>
      <c r="AH229" s="1"/>
      <c r="AI229" s="1"/>
    </row>
    <row r="230" spans="32:35" ht="15.75" customHeight="1" x14ac:dyDescent="0.25">
      <c r="AF230" s="6"/>
      <c r="AG230" s="7"/>
      <c r="AH230" s="1"/>
      <c r="AI230" s="1"/>
    </row>
    <row r="231" spans="32:35" ht="15.75" customHeight="1" x14ac:dyDescent="0.25">
      <c r="AF231" s="6"/>
      <c r="AG231" s="7"/>
      <c r="AH231" s="1"/>
      <c r="AI231" s="1"/>
    </row>
    <row r="232" spans="32:35" ht="15.75" customHeight="1" x14ac:dyDescent="0.25">
      <c r="AF232" s="6"/>
      <c r="AG232" s="7"/>
      <c r="AH232" s="1"/>
      <c r="AI232" s="1"/>
    </row>
    <row r="233" spans="32:35" ht="15.75" customHeight="1" x14ac:dyDescent="0.25">
      <c r="AF233" s="6"/>
      <c r="AG233" s="7"/>
      <c r="AH233" s="1"/>
      <c r="AI233" s="1"/>
    </row>
    <row r="234" spans="32:35" ht="15.75" customHeight="1" x14ac:dyDescent="0.25">
      <c r="AF234" s="6"/>
      <c r="AG234" s="7"/>
      <c r="AH234" s="1"/>
      <c r="AI234" s="1"/>
    </row>
    <row r="235" spans="32:35" ht="15.75" customHeight="1" x14ac:dyDescent="0.25">
      <c r="AF235" s="6"/>
      <c r="AG235" s="7"/>
      <c r="AH235" s="1"/>
      <c r="AI235" s="1"/>
    </row>
    <row r="236" spans="32:35" ht="15.75" customHeight="1" x14ac:dyDescent="0.25">
      <c r="AF236" s="6"/>
      <c r="AG236" s="7"/>
      <c r="AH236" s="1"/>
      <c r="AI236" s="1"/>
    </row>
    <row r="237" spans="32:35" ht="15.75" customHeight="1" x14ac:dyDescent="0.25">
      <c r="AF237" s="6"/>
      <c r="AG237" s="7"/>
      <c r="AH237" s="1"/>
      <c r="AI237" s="1"/>
    </row>
    <row r="238" spans="32:35" ht="15.75" customHeight="1" x14ac:dyDescent="0.25">
      <c r="AF238" s="6"/>
      <c r="AG238" s="7"/>
      <c r="AH238" s="1"/>
      <c r="AI238" s="1"/>
    </row>
    <row r="239" spans="32:35" ht="15.75" customHeight="1" x14ac:dyDescent="0.25">
      <c r="AF239" s="6"/>
      <c r="AG239" s="7"/>
      <c r="AH239" s="1"/>
      <c r="AI239" s="1"/>
    </row>
    <row r="240" spans="32:35" ht="15.75" customHeight="1" x14ac:dyDescent="0.25">
      <c r="AF240" s="6"/>
      <c r="AG240" s="7"/>
      <c r="AH240" s="1"/>
      <c r="AI240" s="1"/>
    </row>
    <row r="241" spans="32:35" ht="15.75" customHeight="1" x14ac:dyDescent="0.25">
      <c r="AF241" s="6"/>
      <c r="AG241" s="7"/>
      <c r="AH241" s="1"/>
      <c r="AI241" s="1"/>
    </row>
    <row r="242" spans="32:35" ht="15.75" customHeight="1" x14ac:dyDescent="0.25">
      <c r="AF242" s="6"/>
      <c r="AG242" s="7"/>
      <c r="AH242" s="1"/>
      <c r="AI242" s="1"/>
    </row>
    <row r="243" spans="32:35" ht="15.75" customHeight="1" x14ac:dyDescent="0.25">
      <c r="AF243" s="6"/>
      <c r="AG243" s="7"/>
      <c r="AH243" s="1"/>
      <c r="AI243" s="1"/>
    </row>
    <row r="244" spans="32:35" ht="15.75" customHeight="1" x14ac:dyDescent="0.25">
      <c r="AF244" s="6"/>
      <c r="AG244" s="7"/>
      <c r="AH244" s="1"/>
      <c r="AI244" s="1"/>
    </row>
    <row r="245" spans="32:35" ht="15.75" customHeight="1" x14ac:dyDescent="0.25">
      <c r="AF245" s="6"/>
      <c r="AG245" s="7"/>
      <c r="AH245" s="1"/>
      <c r="AI245" s="1"/>
    </row>
    <row r="246" spans="32:35" ht="15.75" customHeight="1" x14ac:dyDescent="0.25">
      <c r="AF246" s="6"/>
      <c r="AG246" s="7"/>
      <c r="AH246" s="1"/>
      <c r="AI246" s="1"/>
    </row>
    <row r="247" spans="32:35" ht="15.75" customHeight="1" x14ac:dyDescent="0.25">
      <c r="AF247" s="6"/>
      <c r="AG247" s="7"/>
      <c r="AH247" s="1"/>
      <c r="AI247" s="1"/>
    </row>
    <row r="248" spans="32:35" ht="15.75" customHeight="1" x14ac:dyDescent="0.25">
      <c r="AF248" s="6"/>
      <c r="AG248" s="7"/>
      <c r="AH248" s="1"/>
      <c r="AI248" s="1"/>
    </row>
    <row r="249" spans="32:35" ht="15.75" customHeight="1" x14ac:dyDescent="0.25">
      <c r="AF249" s="6"/>
      <c r="AG249" s="7"/>
      <c r="AH249" s="1"/>
      <c r="AI249" s="1"/>
    </row>
    <row r="250" spans="32:35" ht="15.75" customHeight="1" x14ac:dyDescent="0.25">
      <c r="AF250" s="6"/>
      <c r="AG250" s="7"/>
      <c r="AH250" s="1"/>
      <c r="AI250" s="1"/>
    </row>
    <row r="251" spans="32:35" ht="15.75" customHeight="1" x14ac:dyDescent="0.25">
      <c r="AF251" s="6"/>
      <c r="AG251" s="7"/>
      <c r="AH251" s="1"/>
      <c r="AI251" s="1"/>
    </row>
    <row r="252" spans="32:35" ht="15.75" customHeight="1" x14ac:dyDescent="0.25">
      <c r="AF252" s="6"/>
      <c r="AG252" s="7"/>
      <c r="AH252" s="1"/>
      <c r="AI252" s="1"/>
    </row>
    <row r="253" spans="32:35" ht="15.75" customHeight="1" x14ac:dyDescent="0.25">
      <c r="AF253" s="6"/>
      <c r="AG253" s="7"/>
      <c r="AH253" s="1"/>
      <c r="AI253" s="1"/>
    </row>
    <row r="254" spans="32:35" ht="15.75" customHeight="1" x14ac:dyDescent="0.25">
      <c r="AF254" s="6"/>
      <c r="AG254" s="7"/>
      <c r="AH254" s="1"/>
      <c r="AI254" s="1"/>
    </row>
    <row r="255" spans="32:35" ht="15.75" customHeight="1" x14ac:dyDescent="0.25">
      <c r="AF255" s="6"/>
      <c r="AG255" s="7"/>
      <c r="AH255" s="1"/>
      <c r="AI255" s="1"/>
    </row>
    <row r="256" spans="32:35" ht="15.75" customHeight="1" x14ac:dyDescent="0.25">
      <c r="AF256" s="6"/>
      <c r="AG256" s="7"/>
      <c r="AH256" s="1"/>
      <c r="AI256" s="1"/>
    </row>
    <row r="257" spans="32:35" ht="15.75" customHeight="1" x14ac:dyDescent="0.25">
      <c r="AF257" s="6"/>
      <c r="AG257" s="7"/>
      <c r="AH257" s="1"/>
      <c r="AI257" s="1"/>
    </row>
    <row r="258" spans="32:35" ht="15.75" customHeight="1" x14ac:dyDescent="0.25">
      <c r="AF258" s="6"/>
      <c r="AG258" s="7"/>
      <c r="AH258" s="1"/>
      <c r="AI258" s="1"/>
    </row>
    <row r="259" spans="32:35" ht="15.75" customHeight="1" x14ac:dyDescent="0.25">
      <c r="AF259" s="6"/>
      <c r="AG259" s="7"/>
      <c r="AH259" s="1"/>
      <c r="AI259" s="1"/>
    </row>
    <row r="260" spans="32:35" ht="15.75" customHeight="1" x14ac:dyDescent="0.25">
      <c r="AF260" s="6"/>
      <c r="AG260" s="7"/>
      <c r="AH260" s="1"/>
      <c r="AI260" s="1"/>
    </row>
    <row r="261" spans="32:35" ht="15.75" customHeight="1" x14ac:dyDescent="0.25">
      <c r="AF261" s="6"/>
      <c r="AG261" s="7"/>
      <c r="AH261" s="1"/>
      <c r="AI261" s="1"/>
    </row>
    <row r="262" spans="32:35" ht="15.75" customHeight="1" x14ac:dyDescent="0.25">
      <c r="AF262" s="6"/>
      <c r="AG262" s="7"/>
      <c r="AH262" s="1"/>
      <c r="AI262" s="1"/>
    </row>
    <row r="263" spans="32:35" ht="15.75" customHeight="1" x14ac:dyDescent="0.25">
      <c r="AF263" s="6"/>
      <c r="AG263" s="7"/>
      <c r="AH263" s="1"/>
      <c r="AI263" s="1"/>
    </row>
    <row r="264" spans="32:35" ht="15.75" customHeight="1" x14ac:dyDescent="0.25">
      <c r="AF264" s="6"/>
      <c r="AG264" s="7"/>
      <c r="AH264" s="1"/>
      <c r="AI264" s="1"/>
    </row>
    <row r="265" spans="32:35" ht="15.75" customHeight="1" x14ac:dyDescent="0.25">
      <c r="AF265" s="6"/>
      <c r="AG265" s="7"/>
      <c r="AH265" s="1"/>
      <c r="AI265" s="1"/>
    </row>
    <row r="266" spans="32:35" ht="15.75" customHeight="1" x14ac:dyDescent="0.25">
      <c r="AF266" s="6"/>
      <c r="AG266" s="7"/>
      <c r="AH266" s="1"/>
      <c r="AI266" s="1"/>
    </row>
    <row r="267" spans="32:35" ht="15.75" customHeight="1" x14ac:dyDescent="0.25">
      <c r="AF267" s="6"/>
      <c r="AG267" s="7"/>
      <c r="AH267" s="1"/>
      <c r="AI267" s="1"/>
    </row>
    <row r="268" spans="32:35" ht="15.75" customHeight="1" x14ac:dyDescent="0.25">
      <c r="AF268" s="6"/>
      <c r="AG268" s="7"/>
      <c r="AH268" s="1"/>
      <c r="AI268" s="1"/>
    </row>
    <row r="269" spans="32:35" ht="15.75" customHeight="1" x14ac:dyDescent="0.25">
      <c r="AF269" s="6"/>
      <c r="AG269" s="7"/>
      <c r="AH269" s="1"/>
      <c r="AI269" s="1"/>
    </row>
    <row r="270" spans="32:35" ht="15.75" customHeight="1" x14ac:dyDescent="0.25">
      <c r="AF270" s="6"/>
      <c r="AG270" s="7"/>
      <c r="AH270" s="1"/>
      <c r="AI270" s="1"/>
    </row>
    <row r="271" spans="32:35" ht="15.75" customHeight="1" x14ac:dyDescent="0.25">
      <c r="AF271" s="6"/>
      <c r="AG271" s="7"/>
      <c r="AH271" s="1"/>
      <c r="AI271" s="1"/>
    </row>
    <row r="272" spans="32:35" ht="15.75" customHeight="1" x14ac:dyDescent="0.25">
      <c r="AF272" s="6"/>
      <c r="AG272" s="7"/>
      <c r="AH272" s="1"/>
      <c r="AI272" s="1"/>
    </row>
    <row r="273" spans="32:35" ht="15.75" customHeight="1" x14ac:dyDescent="0.25">
      <c r="AF273" s="6"/>
      <c r="AG273" s="7"/>
      <c r="AH273" s="1"/>
      <c r="AI273" s="1"/>
    </row>
    <row r="274" spans="32:35" ht="15.75" customHeight="1" x14ac:dyDescent="0.25">
      <c r="AF274" s="6"/>
      <c r="AG274" s="7"/>
      <c r="AH274" s="1"/>
      <c r="AI274" s="1"/>
    </row>
    <row r="275" spans="32:35" ht="15.75" customHeight="1" x14ac:dyDescent="0.25">
      <c r="AF275" s="6"/>
      <c r="AG275" s="7"/>
      <c r="AH275" s="1"/>
      <c r="AI275" s="1"/>
    </row>
    <row r="276" spans="32:35" ht="15.75" customHeight="1" x14ac:dyDescent="0.25">
      <c r="AF276" s="6"/>
      <c r="AG276" s="7"/>
      <c r="AH276" s="1"/>
      <c r="AI276" s="1"/>
    </row>
    <row r="277" spans="32:35" ht="15.75" customHeight="1" x14ac:dyDescent="0.25">
      <c r="AF277" s="6"/>
      <c r="AG277" s="7"/>
      <c r="AH277" s="1"/>
      <c r="AI277" s="1"/>
    </row>
    <row r="278" spans="32:35" ht="15.75" customHeight="1" x14ac:dyDescent="0.25">
      <c r="AF278" s="6"/>
      <c r="AG278" s="7"/>
      <c r="AH278" s="1"/>
      <c r="AI278" s="1"/>
    </row>
    <row r="279" spans="32:35" ht="15.75" customHeight="1" x14ac:dyDescent="0.25">
      <c r="AF279" s="6"/>
      <c r="AG279" s="7"/>
      <c r="AH279" s="1"/>
      <c r="AI279" s="1"/>
    </row>
    <row r="280" spans="32:35" ht="15.75" customHeight="1" x14ac:dyDescent="0.25">
      <c r="AF280" s="6"/>
      <c r="AG280" s="7"/>
      <c r="AH280" s="1"/>
      <c r="AI280" s="1"/>
    </row>
    <row r="281" spans="32:35" ht="15.75" customHeight="1" x14ac:dyDescent="0.25">
      <c r="AF281" s="6"/>
      <c r="AG281" s="7"/>
      <c r="AH281" s="1"/>
      <c r="AI281" s="1"/>
    </row>
    <row r="282" spans="32:35" ht="15.75" customHeight="1" x14ac:dyDescent="0.25">
      <c r="AF282" s="6"/>
      <c r="AG282" s="7"/>
      <c r="AH282" s="1"/>
      <c r="AI282" s="1"/>
    </row>
    <row r="283" spans="32:35" ht="15.75" customHeight="1" x14ac:dyDescent="0.25">
      <c r="AF283" s="6"/>
      <c r="AG283" s="7"/>
      <c r="AH283" s="1"/>
      <c r="AI283" s="1"/>
    </row>
    <row r="284" spans="32:35" ht="15.75" customHeight="1" x14ac:dyDescent="0.25">
      <c r="AF284" s="6"/>
      <c r="AG284" s="7"/>
      <c r="AH284" s="1"/>
      <c r="AI284" s="1"/>
    </row>
    <row r="285" spans="32:35" ht="15.75" customHeight="1" x14ac:dyDescent="0.25">
      <c r="AF285" s="6"/>
      <c r="AG285" s="7"/>
      <c r="AH285" s="1"/>
      <c r="AI285" s="1"/>
    </row>
    <row r="286" spans="32:35" ht="15.75" customHeight="1" x14ac:dyDescent="0.25">
      <c r="AF286" s="6"/>
      <c r="AG286" s="7"/>
      <c r="AH286" s="1"/>
      <c r="AI286" s="1"/>
    </row>
    <row r="287" spans="32:35" ht="15.75" customHeight="1" x14ac:dyDescent="0.25">
      <c r="AF287" s="6"/>
      <c r="AG287" s="7"/>
      <c r="AH287" s="1"/>
      <c r="AI287" s="1"/>
    </row>
    <row r="288" spans="32:35" ht="15.75" customHeight="1" x14ac:dyDescent="0.25">
      <c r="AF288" s="6"/>
      <c r="AG288" s="7"/>
      <c r="AH288" s="1"/>
      <c r="AI288" s="1"/>
    </row>
    <row r="289" spans="32:35" ht="15.75" customHeight="1" x14ac:dyDescent="0.25">
      <c r="AF289" s="6"/>
      <c r="AG289" s="7"/>
      <c r="AH289" s="1"/>
      <c r="AI289" s="1"/>
    </row>
    <row r="290" spans="32:35" ht="15.75" customHeight="1" x14ac:dyDescent="0.25">
      <c r="AF290" s="6"/>
      <c r="AG290" s="7"/>
      <c r="AH290" s="1"/>
      <c r="AI290" s="1"/>
    </row>
    <row r="291" spans="32:35" ht="15.75" customHeight="1" x14ac:dyDescent="0.25">
      <c r="AF291" s="6"/>
      <c r="AG291" s="7"/>
      <c r="AH291" s="1"/>
      <c r="AI291" s="1"/>
    </row>
    <row r="292" spans="32:35" ht="15.75" customHeight="1" x14ac:dyDescent="0.25">
      <c r="AF292" s="6"/>
      <c r="AG292" s="7"/>
      <c r="AH292" s="1"/>
      <c r="AI292" s="1"/>
    </row>
    <row r="293" spans="32:35" ht="15.75" customHeight="1" x14ac:dyDescent="0.25">
      <c r="AF293" s="6"/>
      <c r="AG293" s="7"/>
      <c r="AH293" s="1"/>
      <c r="AI293" s="1"/>
    </row>
    <row r="294" spans="32:35" ht="15.75" customHeight="1" x14ac:dyDescent="0.25">
      <c r="AF294" s="6"/>
      <c r="AG294" s="7"/>
      <c r="AH294" s="1"/>
      <c r="AI294" s="1"/>
    </row>
    <row r="295" spans="32:35" ht="15.75" customHeight="1" x14ac:dyDescent="0.25">
      <c r="AF295" s="6"/>
      <c r="AG295" s="7"/>
      <c r="AH295" s="1"/>
      <c r="AI295" s="1"/>
    </row>
    <row r="296" spans="32:35" ht="15.75" customHeight="1" x14ac:dyDescent="0.25">
      <c r="AF296" s="6"/>
      <c r="AG296" s="7"/>
      <c r="AH296" s="1"/>
      <c r="AI296" s="1"/>
    </row>
    <row r="297" spans="32:35" ht="15.75" customHeight="1" x14ac:dyDescent="0.25">
      <c r="AF297" s="6"/>
      <c r="AG297" s="7"/>
      <c r="AH297" s="1"/>
      <c r="AI297" s="1"/>
    </row>
    <row r="298" spans="32:35" ht="15.75" customHeight="1" x14ac:dyDescent="0.25">
      <c r="AF298" s="6"/>
      <c r="AG298" s="7"/>
      <c r="AH298" s="1"/>
      <c r="AI298" s="1"/>
    </row>
    <row r="299" spans="32:35" ht="15.75" customHeight="1" x14ac:dyDescent="0.25">
      <c r="AF299" s="6"/>
      <c r="AG299" s="7"/>
      <c r="AH299" s="1"/>
      <c r="AI299" s="1"/>
    </row>
    <row r="300" spans="32:35" ht="15.75" customHeight="1" x14ac:dyDescent="0.25">
      <c r="AF300" s="6"/>
      <c r="AG300" s="7"/>
      <c r="AH300" s="1"/>
      <c r="AI300" s="1"/>
    </row>
    <row r="301" spans="32:35" ht="15.75" customHeight="1" x14ac:dyDescent="0.25">
      <c r="AF301" s="6"/>
      <c r="AG301" s="7"/>
      <c r="AH301" s="1"/>
      <c r="AI301" s="1"/>
    </row>
    <row r="302" spans="32:35" ht="15.75" customHeight="1" x14ac:dyDescent="0.25">
      <c r="AF302" s="6"/>
      <c r="AG302" s="7"/>
      <c r="AH302" s="1"/>
      <c r="AI302" s="1"/>
    </row>
    <row r="303" spans="32:35" ht="15.75" customHeight="1" x14ac:dyDescent="0.25">
      <c r="AF303" s="6"/>
      <c r="AG303" s="7"/>
      <c r="AH303" s="1"/>
      <c r="AI303" s="1"/>
    </row>
    <row r="304" spans="32:35" ht="15.75" customHeight="1" x14ac:dyDescent="0.25">
      <c r="AF304" s="6"/>
      <c r="AG304" s="7"/>
      <c r="AH304" s="1"/>
      <c r="AI304" s="1"/>
    </row>
    <row r="305" spans="32:35" ht="15.75" customHeight="1" x14ac:dyDescent="0.25">
      <c r="AF305" s="6"/>
      <c r="AG305" s="7"/>
      <c r="AH305" s="1"/>
      <c r="AI305" s="1"/>
    </row>
    <row r="306" spans="32:35" ht="15.75" customHeight="1" x14ac:dyDescent="0.25">
      <c r="AF306" s="6"/>
      <c r="AG306" s="7"/>
      <c r="AH306" s="1"/>
      <c r="AI306" s="1"/>
    </row>
    <row r="307" spans="32:35" ht="15.75" customHeight="1" x14ac:dyDescent="0.25">
      <c r="AF307" s="6"/>
      <c r="AG307" s="7"/>
      <c r="AH307" s="1"/>
      <c r="AI307" s="1"/>
    </row>
    <row r="308" spans="32:35" ht="15.75" customHeight="1" x14ac:dyDescent="0.25">
      <c r="AF308" s="6"/>
      <c r="AG308" s="7"/>
      <c r="AH308" s="1"/>
      <c r="AI308" s="1"/>
    </row>
    <row r="309" spans="32:35" ht="15.75" customHeight="1" x14ac:dyDescent="0.25">
      <c r="AF309" s="6"/>
      <c r="AG309" s="7"/>
      <c r="AH309" s="1"/>
      <c r="AI309" s="1"/>
    </row>
    <row r="310" spans="32:35" ht="15.75" customHeight="1" x14ac:dyDescent="0.25">
      <c r="AF310" s="6"/>
      <c r="AG310" s="7"/>
      <c r="AH310" s="1"/>
      <c r="AI310" s="1"/>
    </row>
    <row r="311" spans="32:35" ht="15.75" customHeight="1" x14ac:dyDescent="0.25">
      <c r="AF311" s="6"/>
      <c r="AG311" s="7"/>
      <c r="AH311" s="1"/>
      <c r="AI311" s="1"/>
    </row>
    <row r="312" spans="32:35" ht="15.75" customHeight="1" x14ac:dyDescent="0.25">
      <c r="AF312" s="6"/>
      <c r="AG312" s="7"/>
      <c r="AH312" s="1"/>
      <c r="AI312" s="1"/>
    </row>
    <row r="313" spans="32:35" ht="15.75" customHeight="1" x14ac:dyDescent="0.25">
      <c r="AF313" s="6"/>
      <c r="AG313" s="7"/>
      <c r="AH313" s="1"/>
      <c r="AI313" s="1"/>
    </row>
    <row r="314" spans="32:35" ht="15.75" customHeight="1" x14ac:dyDescent="0.25">
      <c r="AF314" s="6"/>
      <c r="AG314" s="7"/>
      <c r="AH314" s="1"/>
      <c r="AI314" s="1"/>
    </row>
    <row r="315" spans="32:35" ht="15.75" customHeight="1" x14ac:dyDescent="0.25">
      <c r="AF315" s="6"/>
      <c r="AG315" s="7"/>
      <c r="AH315" s="1"/>
      <c r="AI315" s="1"/>
    </row>
    <row r="316" spans="32:35" ht="15.75" customHeight="1" x14ac:dyDescent="0.25">
      <c r="AF316" s="6"/>
      <c r="AG316" s="7"/>
      <c r="AH316" s="1"/>
      <c r="AI316" s="1"/>
    </row>
    <row r="317" spans="32:35" ht="15.75" customHeight="1" x14ac:dyDescent="0.25">
      <c r="AF317" s="6"/>
      <c r="AG317" s="7"/>
      <c r="AH317" s="1"/>
      <c r="AI317" s="1"/>
    </row>
    <row r="318" spans="32:35" ht="15.75" customHeight="1" x14ac:dyDescent="0.25">
      <c r="AF318" s="6"/>
      <c r="AG318" s="7"/>
      <c r="AH318" s="1"/>
      <c r="AI318" s="1"/>
    </row>
    <row r="319" spans="32:35" ht="15.75" customHeight="1" x14ac:dyDescent="0.25">
      <c r="AF319" s="6"/>
      <c r="AG319" s="7"/>
      <c r="AH319" s="1"/>
      <c r="AI319" s="1"/>
    </row>
    <row r="320" spans="32:35" ht="15.75" customHeight="1" x14ac:dyDescent="0.25">
      <c r="AF320" s="6"/>
      <c r="AG320" s="7"/>
      <c r="AH320" s="1"/>
      <c r="AI320" s="1"/>
    </row>
    <row r="321" spans="32:35" ht="15.75" customHeight="1" x14ac:dyDescent="0.25">
      <c r="AF321" s="6"/>
      <c r="AG321" s="7"/>
      <c r="AH321" s="1"/>
      <c r="AI321" s="1"/>
    </row>
    <row r="322" spans="32:35" ht="15.75" customHeight="1" x14ac:dyDescent="0.25">
      <c r="AF322" s="6"/>
      <c r="AG322" s="7"/>
      <c r="AH322" s="1"/>
      <c r="AI322" s="1"/>
    </row>
    <row r="323" spans="32:35" ht="15.75" customHeight="1" x14ac:dyDescent="0.25">
      <c r="AF323" s="6"/>
      <c r="AG323" s="7"/>
      <c r="AH323" s="1"/>
      <c r="AI323" s="1"/>
    </row>
    <row r="324" spans="32:35" ht="15.75" customHeight="1" x14ac:dyDescent="0.25">
      <c r="AF324" s="6"/>
      <c r="AG324" s="7"/>
      <c r="AH324" s="1"/>
      <c r="AI324" s="1"/>
    </row>
    <row r="325" spans="32:35" ht="15.75" customHeight="1" x14ac:dyDescent="0.25">
      <c r="AF325" s="6"/>
      <c r="AG325" s="7"/>
      <c r="AH325" s="1"/>
      <c r="AI325" s="1"/>
    </row>
    <row r="326" spans="32:35" ht="15.75" customHeight="1" x14ac:dyDescent="0.25">
      <c r="AF326" s="6"/>
      <c r="AG326" s="7"/>
      <c r="AH326" s="1"/>
      <c r="AI326" s="1"/>
    </row>
    <row r="327" spans="32:35" ht="15.75" customHeight="1" x14ac:dyDescent="0.25">
      <c r="AF327" s="6"/>
      <c r="AG327" s="7"/>
      <c r="AH327" s="1"/>
      <c r="AI327" s="1"/>
    </row>
    <row r="328" spans="32:35" ht="15.75" customHeight="1" x14ac:dyDescent="0.25">
      <c r="AF328" s="6"/>
      <c r="AG328" s="7"/>
      <c r="AH328" s="1"/>
      <c r="AI328" s="1"/>
    </row>
    <row r="329" spans="32:35" ht="15.75" customHeight="1" x14ac:dyDescent="0.25">
      <c r="AF329" s="6"/>
      <c r="AG329" s="7"/>
      <c r="AH329" s="1"/>
      <c r="AI329" s="1"/>
    </row>
    <row r="330" spans="32:35" ht="15.75" customHeight="1" x14ac:dyDescent="0.25">
      <c r="AF330" s="6"/>
      <c r="AG330" s="7"/>
      <c r="AH330" s="1"/>
      <c r="AI330" s="1"/>
    </row>
    <row r="331" spans="32:35" ht="15.75" customHeight="1" x14ac:dyDescent="0.25">
      <c r="AF331" s="6"/>
      <c r="AG331" s="7"/>
      <c r="AH331" s="1"/>
      <c r="AI331" s="1"/>
    </row>
    <row r="332" spans="32:35" ht="15.75" customHeight="1" x14ac:dyDescent="0.25">
      <c r="AF332" s="6"/>
      <c r="AG332" s="7"/>
      <c r="AH332" s="1"/>
      <c r="AI332" s="1"/>
    </row>
    <row r="333" spans="32:35" ht="15.75" customHeight="1" x14ac:dyDescent="0.25">
      <c r="AF333" s="6"/>
      <c r="AG333" s="7"/>
      <c r="AH333" s="1"/>
      <c r="AI333" s="1"/>
    </row>
    <row r="334" spans="32:35" ht="15.75" customHeight="1" x14ac:dyDescent="0.25">
      <c r="AF334" s="6"/>
      <c r="AG334" s="7"/>
      <c r="AH334" s="1"/>
      <c r="AI334" s="1"/>
    </row>
    <row r="335" spans="32:35" ht="15.75" customHeight="1" x14ac:dyDescent="0.25">
      <c r="AF335" s="6"/>
      <c r="AG335" s="7"/>
      <c r="AH335" s="1"/>
      <c r="AI335" s="1"/>
    </row>
    <row r="336" spans="32:35" ht="15.75" customHeight="1" x14ac:dyDescent="0.25">
      <c r="AF336" s="6"/>
      <c r="AG336" s="7"/>
      <c r="AH336" s="1"/>
      <c r="AI336" s="1"/>
    </row>
    <row r="337" spans="32:35" ht="15.75" customHeight="1" x14ac:dyDescent="0.25">
      <c r="AF337" s="6"/>
      <c r="AG337" s="7"/>
      <c r="AH337" s="1"/>
      <c r="AI337" s="1"/>
    </row>
    <row r="338" spans="32:35" ht="15.75" customHeight="1" x14ac:dyDescent="0.25">
      <c r="AF338" s="6"/>
      <c r="AG338" s="7"/>
      <c r="AH338" s="1"/>
      <c r="AI338" s="1"/>
    </row>
    <row r="339" spans="32:35" ht="15.75" customHeight="1" x14ac:dyDescent="0.25">
      <c r="AF339" s="6"/>
      <c r="AG339" s="7"/>
      <c r="AH339" s="1"/>
      <c r="AI339" s="1"/>
    </row>
    <row r="340" spans="32:35" ht="15.75" customHeight="1" x14ac:dyDescent="0.25">
      <c r="AF340" s="6"/>
      <c r="AG340" s="7"/>
      <c r="AH340" s="1"/>
      <c r="AI340" s="1"/>
    </row>
    <row r="341" spans="32:35" ht="15.75" customHeight="1" x14ac:dyDescent="0.25">
      <c r="AF341" s="6"/>
      <c r="AG341" s="7"/>
      <c r="AH341" s="1"/>
      <c r="AI341" s="1"/>
    </row>
    <row r="342" spans="32:35" ht="15.75" customHeight="1" x14ac:dyDescent="0.25">
      <c r="AF342" s="6"/>
      <c r="AG342" s="7"/>
      <c r="AH342" s="1"/>
      <c r="AI342" s="1"/>
    </row>
    <row r="343" spans="32:35" ht="15.75" customHeight="1" x14ac:dyDescent="0.25">
      <c r="AF343" s="6"/>
      <c r="AG343" s="7"/>
      <c r="AH343" s="1"/>
      <c r="AI343" s="1"/>
    </row>
    <row r="344" spans="32:35" ht="15.75" customHeight="1" x14ac:dyDescent="0.25">
      <c r="AF344" s="6"/>
      <c r="AG344" s="7"/>
      <c r="AH344" s="1"/>
      <c r="AI344" s="1"/>
    </row>
    <row r="345" spans="32:35" ht="15.75" customHeight="1" x14ac:dyDescent="0.25">
      <c r="AF345" s="6"/>
      <c r="AG345" s="7"/>
      <c r="AH345" s="1"/>
      <c r="AI345" s="1"/>
    </row>
    <row r="346" spans="32:35" ht="15.75" customHeight="1" x14ac:dyDescent="0.25">
      <c r="AF346" s="6"/>
      <c r="AG346" s="7"/>
      <c r="AH346" s="1"/>
      <c r="AI346" s="1"/>
    </row>
    <row r="347" spans="32:35" ht="15.75" customHeight="1" x14ac:dyDescent="0.25">
      <c r="AF347" s="6"/>
      <c r="AG347" s="7"/>
      <c r="AH347" s="1"/>
      <c r="AI347" s="1"/>
    </row>
    <row r="348" spans="32:35" ht="15.75" customHeight="1" x14ac:dyDescent="0.25">
      <c r="AF348" s="6"/>
      <c r="AG348" s="7"/>
      <c r="AH348" s="1"/>
      <c r="AI348" s="1"/>
    </row>
    <row r="349" spans="32:35" ht="15.75" customHeight="1" x14ac:dyDescent="0.25">
      <c r="AF349" s="6"/>
      <c r="AG349" s="7"/>
      <c r="AH349" s="1"/>
      <c r="AI349" s="1"/>
    </row>
    <row r="350" spans="32:35" ht="15.75" customHeight="1" x14ac:dyDescent="0.25">
      <c r="AF350" s="6"/>
      <c r="AG350" s="7"/>
      <c r="AH350" s="1"/>
      <c r="AI350" s="1"/>
    </row>
    <row r="351" spans="32:35" ht="15.75" customHeight="1" x14ac:dyDescent="0.25">
      <c r="AF351" s="6"/>
      <c r="AG351" s="7"/>
      <c r="AH351" s="1"/>
      <c r="AI351" s="1"/>
    </row>
    <row r="352" spans="32:35" ht="15.75" customHeight="1" x14ac:dyDescent="0.25">
      <c r="AF352" s="6"/>
      <c r="AG352" s="7"/>
      <c r="AH352" s="1"/>
      <c r="AI352" s="1"/>
    </row>
    <row r="353" spans="32:35" ht="15.75" customHeight="1" x14ac:dyDescent="0.25">
      <c r="AF353" s="6"/>
      <c r="AG353" s="7"/>
      <c r="AH353" s="1"/>
      <c r="AI353" s="1"/>
    </row>
    <row r="354" spans="32:35" ht="15.75" customHeight="1" x14ac:dyDescent="0.25">
      <c r="AF354" s="6"/>
      <c r="AG354" s="7"/>
      <c r="AH354" s="1"/>
      <c r="AI354" s="1"/>
    </row>
    <row r="355" spans="32:35" ht="15.75" customHeight="1" x14ac:dyDescent="0.25">
      <c r="AF355" s="6"/>
      <c r="AG355" s="7"/>
      <c r="AH355" s="1"/>
      <c r="AI355" s="1"/>
    </row>
    <row r="356" spans="32:35" ht="15.75" customHeight="1" x14ac:dyDescent="0.25">
      <c r="AF356" s="6"/>
      <c r="AG356" s="7"/>
      <c r="AH356" s="1"/>
      <c r="AI356" s="1"/>
    </row>
    <row r="357" spans="32:35" ht="15.75" customHeight="1" x14ac:dyDescent="0.25">
      <c r="AF357" s="6"/>
      <c r="AG357" s="7"/>
      <c r="AH357" s="1"/>
      <c r="AI357" s="1"/>
    </row>
    <row r="358" spans="32:35" ht="15.75" customHeight="1" x14ac:dyDescent="0.25">
      <c r="AF358" s="6"/>
      <c r="AG358" s="7"/>
      <c r="AH358" s="1"/>
      <c r="AI358" s="1"/>
    </row>
    <row r="359" spans="32:35" ht="15.75" customHeight="1" x14ac:dyDescent="0.25">
      <c r="AF359" s="6"/>
      <c r="AG359" s="7"/>
      <c r="AH359" s="1"/>
      <c r="AI359" s="1"/>
    </row>
    <row r="360" spans="32:35" ht="15.75" customHeight="1" x14ac:dyDescent="0.25">
      <c r="AF360" s="6"/>
      <c r="AG360" s="7"/>
      <c r="AH360" s="1"/>
      <c r="AI360" s="1"/>
    </row>
    <row r="361" spans="32:35" ht="15.75" customHeight="1" x14ac:dyDescent="0.25">
      <c r="AF361" s="6"/>
      <c r="AG361" s="7"/>
      <c r="AH361" s="1"/>
      <c r="AI361" s="1"/>
    </row>
    <row r="362" spans="32:35" ht="15.75" customHeight="1" x14ac:dyDescent="0.25">
      <c r="AF362" s="6"/>
      <c r="AG362" s="7"/>
      <c r="AH362" s="1"/>
      <c r="AI362" s="1"/>
    </row>
    <row r="363" spans="32:35" ht="15.75" customHeight="1" x14ac:dyDescent="0.25">
      <c r="AF363" s="6"/>
      <c r="AG363" s="7"/>
      <c r="AH363" s="1"/>
      <c r="AI363" s="1"/>
    </row>
    <row r="364" spans="32:35" ht="15.75" customHeight="1" x14ac:dyDescent="0.25">
      <c r="AF364" s="6"/>
      <c r="AG364" s="7"/>
      <c r="AH364" s="1"/>
      <c r="AI364" s="1"/>
    </row>
    <row r="365" spans="32:35" ht="15.75" customHeight="1" x14ac:dyDescent="0.25">
      <c r="AF365" s="6"/>
      <c r="AG365" s="7"/>
      <c r="AH365" s="1"/>
      <c r="AI365" s="1"/>
    </row>
    <row r="366" spans="32:35" ht="15.75" customHeight="1" x14ac:dyDescent="0.25">
      <c r="AF366" s="6"/>
      <c r="AG366" s="7"/>
      <c r="AH366" s="1"/>
      <c r="AI366" s="1"/>
    </row>
    <row r="367" spans="32:35" ht="15.75" customHeight="1" x14ac:dyDescent="0.25">
      <c r="AF367" s="6"/>
      <c r="AG367" s="7"/>
      <c r="AH367" s="1"/>
      <c r="AI367" s="1"/>
    </row>
    <row r="368" spans="32:35" ht="15.75" customHeight="1" x14ac:dyDescent="0.25">
      <c r="AF368" s="6"/>
      <c r="AG368" s="7"/>
      <c r="AH368" s="1"/>
      <c r="AI368" s="1"/>
    </row>
    <row r="369" spans="32:35" ht="15.75" customHeight="1" x14ac:dyDescent="0.25">
      <c r="AF369" s="6"/>
      <c r="AG369" s="7"/>
      <c r="AH369" s="1"/>
      <c r="AI369" s="1"/>
    </row>
    <row r="370" spans="32:35" ht="15.75" customHeight="1" x14ac:dyDescent="0.25">
      <c r="AF370" s="6"/>
      <c r="AG370" s="7"/>
      <c r="AH370" s="1"/>
      <c r="AI370" s="1"/>
    </row>
    <row r="371" spans="32:35" ht="15.75" customHeight="1" x14ac:dyDescent="0.25">
      <c r="AF371" s="6"/>
      <c r="AG371" s="7"/>
      <c r="AH371" s="1"/>
      <c r="AI371" s="1"/>
    </row>
    <row r="372" spans="32:35" ht="15.75" customHeight="1" x14ac:dyDescent="0.25">
      <c r="AF372" s="6"/>
      <c r="AG372" s="7"/>
      <c r="AH372" s="1"/>
      <c r="AI372" s="1"/>
    </row>
    <row r="373" spans="32:35" ht="15.75" customHeight="1" x14ac:dyDescent="0.25">
      <c r="AF373" s="6"/>
      <c r="AG373" s="7"/>
      <c r="AH373" s="1"/>
      <c r="AI373" s="1"/>
    </row>
    <row r="374" spans="32:35" ht="15.75" customHeight="1" x14ac:dyDescent="0.25">
      <c r="AF374" s="6"/>
      <c r="AG374" s="7"/>
      <c r="AH374" s="1"/>
      <c r="AI374" s="1"/>
    </row>
    <row r="375" spans="32:35" ht="15.75" customHeight="1" x14ac:dyDescent="0.25">
      <c r="AF375" s="6"/>
      <c r="AG375" s="7"/>
      <c r="AH375" s="1"/>
      <c r="AI375" s="1"/>
    </row>
    <row r="376" spans="32:35" ht="15.75" customHeight="1" x14ac:dyDescent="0.25">
      <c r="AF376" s="6"/>
      <c r="AG376" s="7"/>
      <c r="AH376" s="1"/>
      <c r="AI376" s="1"/>
    </row>
    <row r="377" spans="32:35" ht="15.75" customHeight="1" x14ac:dyDescent="0.25">
      <c r="AF377" s="6"/>
      <c r="AG377" s="7"/>
      <c r="AH377" s="1"/>
      <c r="AI377" s="1"/>
    </row>
    <row r="378" spans="32:35" ht="15.75" customHeight="1" x14ac:dyDescent="0.25">
      <c r="AF378" s="6"/>
      <c r="AG378" s="7"/>
      <c r="AH378" s="1"/>
      <c r="AI378" s="1"/>
    </row>
    <row r="379" spans="32:35" ht="15.75" customHeight="1" x14ac:dyDescent="0.25">
      <c r="AF379" s="6"/>
      <c r="AG379" s="7"/>
      <c r="AH379" s="1"/>
      <c r="AI379" s="1"/>
    </row>
    <row r="380" spans="32:35" ht="15.75" customHeight="1" x14ac:dyDescent="0.25">
      <c r="AF380" s="6"/>
      <c r="AG380" s="7"/>
      <c r="AH380" s="1"/>
      <c r="AI380" s="1"/>
    </row>
    <row r="381" spans="32:35" ht="15.75" customHeight="1" x14ac:dyDescent="0.25">
      <c r="AF381" s="6"/>
      <c r="AG381" s="7"/>
      <c r="AH381" s="1"/>
      <c r="AI381" s="1"/>
    </row>
    <row r="382" spans="32:35" ht="15.75" customHeight="1" x14ac:dyDescent="0.25">
      <c r="AF382" s="6"/>
      <c r="AG382" s="7"/>
      <c r="AH382" s="1"/>
      <c r="AI382" s="1"/>
    </row>
    <row r="383" spans="32:35" ht="15.75" customHeight="1" x14ac:dyDescent="0.25">
      <c r="AF383" s="6"/>
      <c r="AG383" s="7"/>
      <c r="AH383" s="1"/>
      <c r="AI383" s="1"/>
    </row>
    <row r="384" spans="32:35" ht="15.75" customHeight="1" x14ac:dyDescent="0.25">
      <c r="AF384" s="6"/>
      <c r="AG384" s="7"/>
      <c r="AH384" s="1"/>
      <c r="AI384" s="1"/>
    </row>
    <row r="385" spans="32:35" ht="15.75" customHeight="1" x14ac:dyDescent="0.25">
      <c r="AF385" s="6"/>
      <c r="AG385" s="7"/>
      <c r="AH385" s="1"/>
      <c r="AI385" s="1"/>
    </row>
    <row r="386" spans="32:35" ht="15.75" customHeight="1" x14ac:dyDescent="0.25">
      <c r="AF386" s="6"/>
      <c r="AG386" s="7"/>
      <c r="AH386" s="1"/>
      <c r="AI386" s="1"/>
    </row>
    <row r="387" spans="32:35" ht="15.75" customHeight="1" x14ac:dyDescent="0.25">
      <c r="AF387" s="6"/>
      <c r="AG387" s="7"/>
      <c r="AH387" s="1"/>
      <c r="AI387" s="1"/>
    </row>
    <row r="388" spans="32:35" ht="15.75" customHeight="1" x14ac:dyDescent="0.25">
      <c r="AF388" s="6"/>
      <c r="AG388" s="7"/>
      <c r="AH388" s="1"/>
      <c r="AI388" s="1"/>
    </row>
    <row r="389" spans="32:35" ht="15.75" customHeight="1" x14ac:dyDescent="0.25">
      <c r="AF389" s="6"/>
      <c r="AG389" s="7"/>
      <c r="AH389" s="1"/>
      <c r="AI389" s="1"/>
    </row>
    <row r="390" spans="32:35" ht="15.75" customHeight="1" x14ac:dyDescent="0.25">
      <c r="AF390" s="6"/>
      <c r="AG390" s="7"/>
      <c r="AH390" s="1"/>
      <c r="AI390" s="1"/>
    </row>
    <row r="391" spans="32:35" ht="15.75" customHeight="1" x14ac:dyDescent="0.25">
      <c r="AF391" s="6"/>
      <c r="AG391" s="7"/>
      <c r="AH391" s="1"/>
      <c r="AI391" s="1"/>
    </row>
    <row r="392" spans="32:35" ht="15.75" customHeight="1" x14ac:dyDescent="0.25">
      <c r="AF392" s="6"/>
      <c r="AG392" s="7"/>
      <c r="AH392" s="1"/>
      <c r="AI392" s="1"/>
    </row>
    <row r="393" spans="32:35" ht="15.75" customHeight="1" x14ac:dyDescent="0.25">
      <c r="AF393" s="6"/>
      <c r="AG393" s="7"/>
      <c r="AH393" s="1"/>
      <c r="AI393" s="1"/>
    </row>
    <row r="394" spans="32:35" ht="15.75" customHeight="1" x14ac:dyDescent="0.25">
      <c r="AF394" s="6"/>
      <c r="AG394" s="7"/>
      <c r="AH394" s="1"/>
      <c r="AI394" s="1"/>
    </row>
    <row r="395" spans="32:35" ht="15.75" customHeight="1" x14ac:dyDescent="0.25">
      <c r="AF395" s="6"/>
      <c r="AG395" s="7"/>
      <c r="AH395" s="1"/>
      <c r="AI395" s="1"/>
    </row>
    <row r="396" spans="32:35" ht="15.75" customHeight="1" x14ac:dyDescent="0.25">
      <c r="AF396" s="6"/>
      <c r="AG396" s="7"/>
      <c r="AH396" s="1"/>
      <c r="AI396" s="1"/>
    </row>
    <row r="397" spans="32:35" ht="15.75" customHeight="1" x14ac:dyDescent="0.25">
      <c r="AF397" s="6"/>
      <c r="AG397" s="7"/>
      <c r="AH397" s="1"/>
      <c r="AI397" s="1"/>
    </row>
    <row r="398" spans="32:35" ht="15.75" customHeight="1" x14ac:dyDescent="0.25">
      <c r="AF398" s="6"/>
      <c r="AG398" s="7"/>
      <c r="AH398" s="1"/>
      <c r="AI398" s="1"/>
    </row>
    <row r="399" spans="32:35" ht="15.75" customHeight="1" x14ac:dyDescent="0.25">
      <c r="AF399" s="6"/>
      <c r="AG399" s="7"/>
      <c r="AH399" s="1"/>
      <c r="AI399" s="1"/>
    </row>
    <row r="400" spans="32:35" ht="15.75" customHeight="1" x14ac:dyDescent="0.25">
      <c r="AF400" s="6"/>
      <c r="AG400" s="7"/>
      <c r="AH400" s="1"/>
      <c r="AI400" s="1"/>
    </row>
    <row r="401" spans="32:35" ht="15.75" customHeight="1" x14ac:dyDescent="0.25">
      <c r="AF401" s="6"/>
      <c r="AG401" s="7"/>
      <c r="AH401" s="1"/>
      <c r="AI401" s="1"/>
    </row>
    <row r="402" spans="32:35" ht="15.75" customHeight="1" x14ac:dyDescent="0.25">
      <c r="AF402" s="6"/>
      <c r="AG402" s="7"/>
      <c r="AH402" s="1"/>
      <c r="AI402" s="1"/>
    </row>
    <row r="403" spans="32:35" ht="15.75" customHeight="1" x14ac:dyDescent="0.25">
      <c r="AF403" s="6"/>
      <c r="AG403" s="7"/>
      <c r="AH403" s="1"/>
      <c r="AI403" s="1"/>
    </row>
    <row r="404" spans="32:35" ht="15.75" customHeight="1" x14ac:dyDescent="0.25">
      <c r="AF404" s="6"/>
      <c r="AG404" s="7"/>
      <c r="AH404" s="1"/>
      <c r="AI404" s="1"/>
    </row>
    <row r="405" spans="32:35" ht="15.75" customHeight="1" x14ac:dyDescent="0.25">
      <c r="AF405" s="6"/>
      <c r="AG405" s="7"/>
      <c r="AH405" s="1"/>
      <c r="AI405" s="1"/>
    </row>
    <row r="406" spans="32:35" ht="15.75" customHeight="1" x14ac:dyDescent="0.25">
      <c r="AF406" s="6"/>
      <c r="AG406" s="7"/>
      <c r="AH406" s="1"/>
      <c r="AI406" s="1"/>
    </row>
    <row r="407" spans="32:35" ht="15.75" customHeight="1" x14ac:dyDescent="0.25">
      <c r="AF407" s="6"/>
      <c r="AG407" s="7"/>
      <c r="AH407" s="1"/>
      <c r="AI407" s="1"/>
    </row>
    <row r="408" spans="32:35" ht="15.75" customHeight="1" x14ac:dyDescent="0.25">
      <c r="AF408" s="6"/>
      <c r="AG408" s="7"/>
      <c r="AH408" s="1"/>
      <c r="AI408" s="1"/>
    </row>
    <row r="409" spans="32:35" ht="15.75" customHeight="1" x14ac:dyDescent="0.25">
      <c r="AF409" s="6"/>
      <c r="AG409" s="7"/>
      <c r="AH409" s="1"/>
      <c r="AI409" s="1"/>
    </row>
    <row r="410" spans="32:35" ht="15.75" customHeight="1" x14ac:dyDescent="0.25">
      <c r="AF410" s="6"/>
      <c r="AG410" s="7"/>
      <c r="AH410" s="1"/>
      <c r="AI410" s="1"/>
    </row>
    <row r="411" spans="32:35" ht="15.75" customHeight="1" x14ac:dyDescent="0.25">
      <c r="AF411" s="6"/>
      <c r="AG411" s="7"/>
      <c r="AH411" s="1"/>
      <c r="AI411" s="1"/>
    </row>
    <row r="412" spans="32:35" ht="15.75" customHeight="1" x14ac:dyDescent="0.25">
      <c r="AF412" s="6"/>
      <c r="AG412" s="7"/>
      <c r="AH412" s="1"/>
      <c r="AI412" s="1"/>
    </row>
    <row r="413" spans="32:35" ht="15.75" customHeight="1" x14ac:dyDescent="0.25">
      <c r="AF413" s="6"/>
      <c r="AG413" s="7"/>
      <c r="AH413" s="1"/>
      <c r="AI413" s="1"/>
    </row>
    <row r="414" spans="32:35" ht="15.75" customHeight="1" x14ac:dyDescent="0.25">
      <c r="AF414" s="6"/>
      <c r="AG414" s="7"/>
      <c r="AH414" s="1"/>
      <c r="AI414" s="1"/>
    </row>
    <row r="415" spans="32:35" ht="15.75" customHeight="1" x14ac:dyDescent="0.25">
      <c r="AF415" s="6"/>
      <c r="AG415" s="7"/>
      <c r="AH415" s="1"/>
      <c r="AI415" s="1"/>
    </row>
    <row r="416" spans="32:35" ht="15.75" customHeight="1" x14ac:dyDescent="0.25">
      <c r="AF416" s="6"/>
      <c r="AG416" s="7"/>
      <c r="AH416" s="1"/>
      <c r="AI416" s="1"/>
    </row>
    <row r="417" spans="32:35" ht="15.75" customHeight="1" x14ac:dyDescent="0.25">
      <c r="AF417" s="6"/>
      <c r="AG417" s="7"/>
      <c r="AH417" s="1"/>
      <c r="AI417" s="1"/>
    </row>
    <row r="418" spans="32:35" ht="15.75" customHeight="1" x14ac:dyDescent="0.25">
      <c r="AF418" s="6"/>
      <c r="AG418" s="7"/>
      <c r="AH418" s="1"/>
      <c r="AI418" s="1"/>
    </row>
    <row r="419" spans="32:35" ht="15.75" customHeight="1" x14ac:dyDescent="0.25">
      <c r="AF419" s="6"/>
      <c r="AG419" s="7"/>
      <c r="AH419" s="1"/>
      <c r="AI419" s="1"/>
    </row>
    <row r="420" spans="32:35" ht="15.75" customHeight="1" x14ac:dyDescent="0.25">
      <c r="AF420" s="6"/>
      <c r="AG420" s="7"/>
      <c r="AH420" s="1"/>
      <c r="AI420" s="1"/>
    </row>
    <row r="421" spans="32:35" ht="15.75" customHeight="1" x14ac:dyDescent="0.25">
      <c r="AF421" s="6"/>
      <c r="AG421" s="7"/>
      <c r="AH421" s="1"/>
      <c r="AI421" s="1"/>
    </row>
    <row r="422" spans="32:35" ht="15.75" customHeight="1" x14ac:dyDescent="0.25">
      <c r="AF422" s="6"/>
      <c r="AG422" s="7"/>
      <c r="AH422" s="1"/>
      <c r="AI422" s="1"/>
    </row>
    <row r="423" spans="32:35" ht="15.75" customHeight="1" x14ac:dyDescent="0.25">
      <c r="AF423" s="6"/>
      <c r="AG423" s="7"/>
      <c r="AH423" s="1"/>
      <c r="AI423" s="1"/>
    </row>
    <row r="424" spans="32:35" ht="15.75" customHeight="1" x14ac:dyDescent="0.25">
      <c r="AF424" s="6"/>
      <c r="AG424" s="7"/>
      <c r="AH424" s="1"/>
      <c r="AI424" s="1"/>
    </row>
    <row r="425" spans="32:35" ht="15.75" customHeight="1" x14ac:dyDescent="0.25">
      <c r="AF425" s="6"/>
      <c r="AG425" s="7"/>
      <c r="AH425" s="1"/>
      <c r="AI425" s="1"/>
    </row>
    <row r="426" spans="32:35" ht="15.75" customHeight="1" x14ac:dyDescent="0.25">
      <c r="AF426" s="6"/>
      <c r="AG426" s="7"/>
      <c r="AH426" s="1"/>
      <c r="AI426" s="1"/>
    </row>
    <row r="427" spans="32:35" ht="15.75" customHeight="1" x14ac:dyDescent="0.25">
      <c r="AF427" s="6"/>
      <c r="AG427" s="7"/>
      <c r="AH427" s="1"/>
      <c r="AI427" s="1"/>
    </row>
    <row r="428" spans="32:35" ht="15.75" customHeight="1" x14ac:dyDescent="0.25">
      <c r="AF428" s="6"/>
      <c r="AG428" s="7"/>
      <c r="AH428" s="1"/>
      <c r="AI428" s="1"/>
    </row>
    <row r="429" spans="32:35" ht="15.75" customHeight="1" x14ac:dyDescent="0.25">
      <c r="AF429" s="6"/>
      <c r="AG429" s="7"/>
      <c r="AH429" s="1"/>
      <c r="AI429" s="1"/>
    </row>
    <row r="430" spans="32:35" ht="15.75" customHeight="1" x14ac:dyDescent="0.25">
      <c r="AF430" s="6"/>
      <c r="AG430" s="7"/>
      <c r="AH430" s="1"/>
      <c r="AI430" s="1"/>
    </row>
    <row r="431" spans="32:35" ht="15.75" customHeight="1" x14ac:dyDescent="0.25">
      <c r="AF431" s="6"/>
      <c r="AG431" s="7"/>
      <c r="AH431" s="1"/>
      <c r="AI431" s="1"/>
    </row>
    <row r="432" spans="32:35" ht="15.75" customHeight="1" x14ac:dyDescent="0.25">
      <c r="AF432" s="6"/>
      <c r="AG432" s="7"/>
      <c r="AH432" s="1"/>
      <c r="AI432" s="1"/>
    </row>
    <row r="433" spans="32:35" ht="15.75" customHeight="1" x14ac:dyDescent="0.25">
      <c r="AF433" s="6"/>
      <c r="AG433" s="7"/>
      <c r="AH433" s="1"/>
      <c r="AI433" s="1"/>
    </row>
    <row r="434" spans="32:35" ht="15.75" customHeight="1" x14ac:dyDescent="0.25">
      <c r="AF434" s="6"/>
      <c r="AG434" s="7"/>
      <c r="AH434" s="1"/>
      <c r="AI434" s="1"/>
    </row>
    <row r="435" spans="32:35" ht="15.75" customHeight="1" x14ac:dyDescent="0.25">
      <c r="AF435" s="6"/>
      <c r="AG435" s="7"/>
      <c r="AH435" s="1"/>
      <c r="AI435" s="1"/>
    </row>
    <row r="436" spans="32:35" ht="15.75" customHeight="1" x14ac:dyDescent="0.25">
      <c r="AF436" s="6"/>
      <c r="AG436" s="7"/>
      <c r="AH436" s="1"/>
      <c r="AI436" s="1"/>
    </row>
    <row r="437" spans="32:35" ht="15.75" customHeight="1" x14ac:dyDescent="0.25">
      <c r="AF437" s="6"/>
      <c r="AG437" s="7"/>
      <c r="AH437" s="1"/>
      <c r="AI437" s="1"/>
    </row>
    <row r="438" spans="32:35" ht="15.75" customHeight="1" x14ac:dyDescent="0.25">
      <c r="AF438" s="6"/>
      <c r="AG438" s="7"/>
      <c r="AH438" s="1"/>
      <c r="AI438" s="1"/>
    </row>
    <row r="439" spans="32:35" ht="15.75" customHeight="1" x14ac:dyDescent="0.25">
      <c r="AF439" s="6"/>
      <c r="AG439" s="7"/>
      <c r="AH439" s="1"/>
      <c r="AI439" s="1"/>
    </row>
    <row r="440" spans="32:35" ht="15.75" customHeight="1" x14ac:dyDescent="0.25">
      <c r="AF440" s="6"/>
      <c r="AG440" s="7"/>
      <c r="AH440" s="1"/>
      <c r="AI440" s="1"/>
    </row>
    <row r="441" spans="32:35" ht="15.75" customHeight="1" x14ac:dyDescent="0.25">
      <c r="AF441" s="6"/>
      <c r="AG441" s="7"/>
      <c r="AH441" s="1"/>
      <c r="AI441" s="1"/>
    </row>
    <row r="442" spans="32:35" ht="15.75" customHeight="1" x14ac:dyDescent="0.25">
      <c r="AF442" s="6"/>
      <c r="AG442" s="7"/>
      <c r="AH442" s="1"/>
      <c r="AI442" s="1"/>
    </row>
    <row r="443" spans="32:35" ht="15.75" customHeight="1" x14ac:dyDescent="0.25">
      <c r="AF443" s="6"/>
      <c r="AG443" s="7"/>
      <c r="AH443" s="1"/>
      <c r="AI443" s="1"/>
    </row>
    <row r="444" spans="32:35" ht="15.75" customHeight="1" x14ac:dyDescent="0.25">
      <c r="AF444" s="6"/>
      <c r="AG444" s="7"/>
      <c r="AH444" s="1"/>
      <c r="AI444" s="1"/>
    </row>
    <row r="445" spans="32:35" ht="15.75" customHeight="1" x14ac:dyDescent="0.25">
      <c r="AF445" s="6"/>
      <c r="AG445" s="7"/>
      <c r="AH445" s="1"/>
      <c r="AI445" s="1"/>
    </row>
    <row r="446" spans="32:35" ht="15.75" customHeight="1" x14ac:dyDescent="0.25">
      <c r="AF446" s="6"/>
      <c r="AG446" s="7"/>
      <c r="AH446" s="1"/>
      <c r="AI446" s="1"/>
    </row>
    <row r="447" spans="32:35" ht="15.75" customHeight="1" x14ac:dyDescent="0.25">
      <c r="AF447" s="6"/>
      <c r="AG447" s="7"/>
      <c r="AH447" s="1"/>
      <c r="AI447" s="1"/>
    </row>
    <row r="448" spans="32:35" ht="15.75" customHeight="1" x14ac:dyDescent="0.25">
      <c r="AF448" s="6"/>
      <c r="AG448" s="7"/>
      <c r="AH448" s="1"/>
      <c r="AI448" s="1"/>
    </row>
    <row r="449" spans="32:35" ht="15.75" customHeight="1" x14ac:dyDescent="0.25">
      <c r="AF449" s="6"/>
      <c r="AG449" s="7"/>
      <c r="AH449" s="1"/>
      <c r="AI449" s="1"/>
    </row>
    <row r="450" spans="32:35" ht="15.75" customHeight="1" x14ac:dyDescent="0.25">
      <c r="AF450" s="6"/>
      <c r="AG450" s="7"/>
      <c r="AH450" s="1"/>
      <c r="AI450" s="1"/>
    </row>
    <row r="451" spans="32:35" ht="15.75" customHeight="1" x14ac:dyDescent="0.25">
      <c r="AF451" s="6"/>
      <c r="AG451" s="7"/>
      <c r="AH451" s="1"/>
      <c r="AI451" s="1"/>
    </row>
    <row r="452" spans="32:35" ht="15.75" customHeight="1" x14ac:dyDescent="0.25">
      <c r="AF452" s="6"/>
      <c r="AG452" s="7"/>
      <c r="AH452" s="1"/>
      <c r="AI452" s="1"/>
    </row>
    <row r="453" spans="32:35" ht="15.75" customHeight="1" x14ac:dyDescent="0.25">
      <c r="AF453" s="6"/>
      <c r="AG453" s="7"/>
      <c r="AH453" s="1"/>
      <c r="AI453" s="1"/>
    </row>
    <row r="454" spans="32:35" ht="15.75" customHeight="1" x14ac:dyDescent="0.25">
      <c r="AF454" s="6"/>
      <c r="AG454" s="7"/>
      <c r="AH454" s="1"/>
      <c r="AI454" s="1"/>
    </row>
    <row r="455" spans="32:35" ht="15.75" customHeight="1" x14ac:dyDescent="0.25">
      <c r="AF455" s="6"/>
      <c r="AG455" s="7"/>
      <c r="AH455" s="1"/>
      <c r="AI455" s="1"/>
    </row>
    <row r="456" spans="32:35" ht="15.75" customHeight="1" x14ac:dyDescent="0.25">
      <c r="AF456" s="6"/>
      <c r="AG456" s="7"/>
      <c r="AH456" s="1"/>
      <c r="AI456" s="1"/>
    </row>
    <row r="457" spans="32:35" ht="15.75" customHeight="1" x14ac:dyDescent="0.25">
      <c r="AF457" s="6"/>
      <c r="AG457" s="7"/>
      <c r="AH457" s="1"/>
      <c r="AI457" s="1"/>
    </row>
    <row r="458" spans="32:35" ht="15.75" customHeight="1" x14ac:dyDescent="0.25">
      <c r="AF458" s="6"/>
      <c r="AG458" s="7"/>
      <c r="AH458" s="1"/>
      <c r="AI458" s="1"/>
    </row>
    <row r="459" spans="32:35" ht="15.75" customHeight="1" x14ac:dyDescent="0.25">
      <c r="AF459" s="6"/>
      <c r="AG459" s="7"/>
      <c r="AH459" s="1"/>
      <c r="AI459" s="1"/>
    </row>
    <row r="460" spans="32:35" ht="15.75" customHeight="1" x14ac:dyDescent="0.25">
      <c r="AF460" s="6"/>
      <c r="AG460" s="7"/>
      <c r="AH460" s="1"/>
      <c r="AI460" s="1"/>
    </row>
    <row r="461" spans="32:35" ht="15.75" customHeight="1" x14ac:dyDescent="0.25">
      <c r="AF461" s="6"/>
      <c r="AG461" s="7"/>
      <c r="AH461" s="1"/>
      <c r="AI461" s="1"/>
    </row>
    <row r="462" spans="32:35" ht="15.75" customHeight="1" x14ac:dyDescent="0.25">
      <c r="AF462" s="6"/>
      <c r="AG462" s="7"/>
      <c r="AH462" s="1"/>
      <c r="AI462" s="1"/>
    </row>
    <row r="463" spans="32:35" ht="15.75" customHeight="1" x14ac:dyDescent="0.25">
      <c r="AF463" s="6"/>
      <c r="AG463" s="7"/>
      <c r="AH463" s="1"/>
      <c r="AI463" s="1"/>
    </row>
    <row r="464" spans="32:35" ht="15.75" customHeight="1" x14ac:dyDescent="0.25">
      <c r="AF464" s="6"/>
      <c r="AG464" s="7"/>
      <c r="AH464" s="1"/>
      <c r="AI464" s="1"/>
    </row>
    <row r="465" spans="32:35" ht="15.75" customHeight="1" x14ac:dyDescent="0.25">
      <c r="AF465" s="6"/>
      <c r="AG465" s="7"/>
      <c r="AH465" s="1"/>
      <c r="AI465" s="1"/>
    </row>
    <row r="466" spans="32:35" ht="15.75" customHeight="1" x14ac:dyDescent="0.25">
      <c r="AF466" s="6"/>
      <c r="AG466" s="7"/>
      <c r="AH466" s="1"/>
      <c r="AI466" s="1"/>
    </row>
    <row r="467" spans="32:35" ht="15.75" customHeight="1" x14ac:dyDescent="0.25">
      <c r="AF467" s="6"/>
      <c r="AG467" s="7"/>
      <c r="AH467" s="1"/>
      <c r="AI467" s="1"/>
    </row>
    <row r="468" spans="32:35" ht="15.75" customHeight="1" x14ac:dyDescent="0.25">
      <c r="AF468" s="6"/>
      <c r="AG468" s="7"/>
      <c r="AH468" s="1"/>
      <c r="AI468" s="1"/>
    </row>
    <row r="469" spans="32:35" ht="15.75" customHeight="1" x14ac:dyDescent="0.25">
      <c r="AF469" s="6"/>
      <c r="AG469" s="7"/>
      <c r="AH469" s="1"/>
      <c r="AI469" s="1"/>
    </row>
    <row r="470" spans="32:35" ht="15.75" customHeight="1" x14ac:dyDescent="0.25">
      <c r="AF470" s="6"/>
      <c r="AG470" s="7"/>
      <c r="AH470" s="1"/>
      <c r="AI470" s="1"/>
    </row>
    <row r="471" spans="32:35" ht="15.75" customHeight="1" x14ac:dyDescent="0.25">
      <c r="AF471" s="6"/>
      <c r="AG471" s="7"/>
      <c r="AH471" s="1"/>
      <c r="AI471" s="1"/>
    </row>
    <row r="472" spans="32:35" ht="15.75" customHeight="1" x14ac:dyDescent="0.25">
      <c r="AF472" s="6"/>
      <c r="AG472" s="7"/>
      <c r="AH472" s="1"/>
      <c r="AI472" s="1"/>
    </row>
    <row r="473" spans="32:35" ht="15.75" customHeight="1" x14ac:dyDescent="0.25">
      <c r="AF473" s="6"/>
      <c r="AG473" s="7"/>
      <c r="AH473" s="1"/>
      <c r="AI473" s="1"/>
    </row>
    <row r="474" spans="32:35" ht="15.75" customHeight="1" x14ac:dyDescent="0.25">
      <c r="AF474" s="6"/>
      <c r="AG474" s="7"/>
      <c r="AH474" s="1"/>
      <c r="AI474" s="1"/>
    </row>
    <row r="475" spans="32:35" ht="15.75" customHeight="1" x14ac:dyDescent="0.25">
      <c r="AF475" s="6"/>
      <c r="AG475" s="7"/>
      <c r="AH475" s="1"/>
      <c r="AI475" s="1"/>
    </row>
    <row r="476" spans="32:35" ht="15.75" customHeight="1" x14ac:dyDescent="0.25">
      <c r="AF476" s="6"/>
      <c r="AG476" s="7"/>
      <c r="AH476" s="1"/>
      <c r="AI476" s="1"/>
    </row>
    <row r="477" spans="32:35" ht="15.75" customHeight="1" x14ac:dyDescent="0.25">
      <c r="AF477" s="6"/>
      <c r="AG477" s="7"/>
      <c r="AH477" s="1"/>
      <c r="AI477" s="1"/>
    </row>
    <row r="478" spans="32:35" ht="15.75" customHeight="1" x14ac:dyDescent="0.25">
      <c r="AF478" s="6"/>
      <c r="AG478" s="7"/>
      <c r="AH478" s="1"/>
      <c r="AI478" s="1"/>
    </row>
    <row r="479" spans="32:35" ht="15.75" customHeight="1" x14ac:dyDescent="0.25">
      <c r="AF479" s="6"/>
      <c r="AG479" s="7"/>
      <c r="AH479" s="1"/>
      <c r="AI479" s="1"/>
    </row>
    <row r="480" spans="32:35" ht="15.75" customHeight="1" x14ac:dyDescent="0.25">
      <c r="AF480" s="6"/>
      <c r="AG480" s="7"/>
      <c r="AH480" s="1"/>
      <c r="AI480" s="1"/>
    </row>
    <row r="481" spans="32:35" ht="15.75" customHeight="1" x14ac:dyDescent="0.25">
      <c r="AF481" s="6"/>
      <c r="AG481" s="7"/>
      <c r="AH481" s="1"/>
      <c r="AI481" s="1"/>
    </row>
    <row r="482" spans="32:35" ht="15.75" customHeight="1" x14ac:dyDescent="0.25">
      <c r="AF482" s="6"/>
      <c r="AG482" s="7"/>
      <c r="AH482" s="1"/>
      <c r="AI482" s="1"/>
    </row>
    <row r="483" spans="32:35" ht="15.75" customHeight="1" x14ac:dyDescent="0.25">
      <c r="AF483" s="6"/>
      <c r="AG483" s="7"/>
      <c r="AH483" s="1"/>
      <c r="AI483" s="1"/>
    </row>
    <row r="484" spans="32:35" ht="15.75" customHeight="1" x14ac:dyDescent="0.25">
      <c r="AF484" s="6"/>
      <c r="AG484" s="7"/>
      <c r="AH484" s="1"/>
      <c r="AI484" s="1"/>
    </row>
    <row r="485" spans="32:35" ht="15.75" customHeight="1" x14ac:dyDescent="0.25">
      <c r="AF485" s="6"/>
      <c r="AG485" s="7"/>
      <c r="AH485" s="1"/>
      <c r="AI485" s="1"/>
    </row>
    <row r="486" spans="32:35" ht="15.75" customHeight="1" x14ac:dyDescent="0.25">
      <c r="AF486" s="6"/>
      <c r="AG486" s="7"/>
      <c r="AH486" s="1"/>
      <c r="AI486" s="1"/>
    </row>
    <row r="487" spans="32:35" ht="15.75" customHeight="1" x14ac:dyDescent="0.25">
      <c r="AF487" s="6"/>
      <c r="AG487" s="7"/>
      <c r="AH487" s="1"/>
      <c r="AI487" s="1"/>
    </row>
    <row r="488" spans="32:35" ht="15.75" customHeight="1" x14ac:dyDescent="0.25">
      <c r="AF488" s="6"/>
      <c r="AG488" s="7"/>
      <c r="AH488" s="1"/>
      <c r="AI488" s="1"/>
    </row>
    <row r="489" spans="32:35" ht="15.75" customHeight="1" x14ac:dyDescent="0.25">
      <c r="AF489" s="6"/>
      <c r="AG489" s="7"/>
      <c r="AH489" s="1"/>
      <c r="AI489" s="1"/>
    </row>
    <row r="490" spans="32:35" ht="15.75" customHeight="1" x14ac:dyDescent="0.25">
      <c r="AF490" s="6"/>
      <c r="AG490" s="7"/>
      <c r="AH490" s="1"/>
      <c r="AI490" s="1"/>
    </row>
    <row r="491" spans="32:35" ht="15.75" customHeight="1" x14ac:dyDescent="0.25">
      <c r="AF491" s="6"/>
      <c r="AG491" s="7"/>
      <c r="AH491" s="1"/>
      <c r="AI491" s="1"/>
    </row>
    <row r="492" spans="32:35" ht="15.75" customHeight="1" x14ac:dyDescent="0.25">
      <c r="AF492" s="6"/>
      <c r="AG492" s="7"/>
      <c r="AH492" s="1"/>
      <c r="AI492" s="1"/>
    </row>
    <row r="493" spans="32:35" ht="15.75" customHeight="1" x14ac:dyDescent="0.25">
      <c r="AF493" s="6"/>
      <c r="AG493" s="7"/>
      <c r="AH493" s="1"/>
      <c r="AI493" s="1"/>
    </row>
    <row r="494" spans="32:35" ht="15.75" customHeight="1" x14ac:dyDescent="0.25">
      <c r="AF494" s="6"/>
      <c r="AG494" s="7"/>
      <c r="AH494" s="1"/>
      <c r="AI494" s="1"/>
    </row>
    <row r="495" spans="32:35" ht="15.75" customHeight="1" x14ac:dyDescent="0.25">
      <c r="AF495" s="6"/>
      <c r="AG495" s="7"/>
      <c r="AH495" s="1"/>
      <c r="AI495" s="1"/>
    </row>
    <row r="496" spans="32:35" ht="15.75" customHeight="1" x14ac:dyDescent="0.25">
      <c r="AF496" s="6"/>
      <c r="AG496" s="7"/>
      <c r="AH496" s="1"/>
      <c r="AI496" s="1"/>
    </row>
    <row r="497" spans="32:35" ht="15.75" customHeight="1" x14ac:dyDescent="0.25">
      <c r="AF497" s="6"/>
      <c r="AG497" s="7"/>
      <c r="AH497" s="1"/>
      <c r="AI497" s="1"/>
    </row>
    <row r="498" spans="32:35" ht="15.75" customHeight="1" x14ac:dyDescent="0.25">
      <c r="AF498" s="6"/>
      <c r="AG498" s="7"/>
      <c r="AH498" s="1"/>
      <c r="AI498" s="1"/>
    </row>
    <row r="499" spans="32:35" ht="15.75" customHeight="1" x14ac:dyDescent="0.25">
      <c r="AF499" s="6"/>
      <c r="AG499" s="7"/>
      <c r="AH499" s="1"/>
      <c r="AI499" s="1"/>
    </row>
    <row r="500" spans="32:35" ht="15.75" customHeight="1" x14ac:dyDescent="0.25">
      <c r="AF500" s="6"/>
      <c r="AG500" s="7"/>
      <c r="AH500" s="1"/>
      <c r="AI500" s="1"/>
    </row>
    <row r="501" spans="32:35" ht="15.75" customHeight="1" x14ac:dyDescent="0.25">
      <c r="AF501" s="6"/>
      <c r="AG501" s="7"/>
      <c r="AH501" s="1"/>
      <c r="AI501" s="1"/>
    </row>
    <row r="502" spans="32:35" ht="15.75" customHeight="1" x14ac:dyDescent="0.25">
      <c r="AF502" s="6"/>
      <c r="AG502" s="7"/>
      <c r="AH502" s="1"/>
      <c r="AI502" s="1"/>
    </row>
    <row r="503" spans="32:35" ht="15.75" customHeight="1" x14ac:dyDescent="0.25">
      <c r="AF503" s="6"/>
      <c r="AG503" s="7"/>
      <c r="AH503" s="1"/>
      <c r="AI503" s="1"/>
    </row>
    <row r="504" spans="32:35" ht="15.75" customHeight="1" x14ac:dyDescent="0.25">
      <c r="AF504" s="6"/>
      <c r="AG504" s="7"/>
      <c r="AH504" s="1"/>
      <c r="AI504" s="1"/>
    </row>
    <row r="505" spans="32:35" ht="15.75" customHeight="1" x14ac:dyDescent="0.25">
      <c r="AF505" s="6"/>
      <c r="AG505" s="7"/>
      <c r="AH505" s="1"/>
      <c r="AI505" s="1"/>
    </row>
    <row r="506" spans="32:35" ht="15.75" customHeight="1" x14ac:dyDescent="0.25">
      <c r="AF506" s="6"/>
      <c r="AG506" s="7"/>
      <c r="AH506" s="1"/>
      <c r="AI506" s="1"/>
    </row>
    <row r="507" spans="32:35" ht="15.75" customHeight="1" x14ac:dyDescent="0.25">
      <c r="AF507" s="6"/>
      <c r="AG507" s="7"/>
      <c r="AH507" s="1"/>
      <c r="AI507" s="1"/>
    </row>
    <row r="508" spans="32:35" ht="15.75" customHeight="1" x14ac:dyDescent="0.25">
      <c r="AF508" s="6"/>
      <c r="AG508" s="7"/>
      <c r="AH508" s="1"/>
      <c r="AI508" s="1"/>
    </row>
    <row r="509" spans="32:35" ht="15.75" customHeight="1" x14ac:dyDescent="0.25">
      <c r="AF509" s="6"/>
      <c r="AG509" s="7"/>
      <c r="AH509" s="1"/>
      <c r="AI509" s="1"/>
    </row>
    <row r="510" spans="32:35" ht="15.75" customHeight="1" x14ac:dyDescent="0.25">
      <c r="AF510" s="6"/>
      <c r="AG510" s="7"/>
      <c r="AH510" s="1"/>
      <c r="AI510" s="1"/>
    </row>
    <row r="511" spans="32:35" ht="15.75" customHeight="1" x14ac:dyDescent="0.25">
      <c r="AF511" s="6"/>
      <c r="AG511" s="7"/>
      <c r="AH511" s="1"/>
      <c r="AI511" s="1"/>
    </row>
    <row r="512" spans="32:35" ht="15.75" customHeight="1" x14ac:dyDescent="0.25">
      <c r="AF512" s="6"/>
      <c r="AG512" s="7"/>
      <c r="AH512" s="1"/>
      <c r="AI512" s="1"/>
    </row>
    <row r="513" spans="32:35" ht="15.75" customHeight="1" x14ac:dyDescent="0.25">
      <c r="AF513" s="6"/>
      <c r="AG513" s="7"/>
      <c r="AH513" s="1"/>
      <c r="AI513" s="1"/>
    </row>
    <row r="514" spans="32:35" ht="15.75" customHeight="1" x14ac:dyDescent="0.25">
      <c r="AF514" s="6"/>
      <c r="AG514" s="7"/>
      <c r="AH514" s="1"/>
      <c r="AI514" s="1"/>
    </row>
    <row r="515" spans="32:35" ht="15.75" customHeight="1" x14ac:dyDescent="0.25">
      <c r="AF515" s="6"/>
      <c r="AG515" s="7"/>
      <c r="AH515" s="1"/>
      <c r="AI515" s="1"/>
    </row>
    <row r="516" spans="32:35" ht="15.75" customHeight="1" x14ac:dyDescent="0.25">
      <c r="AF516" s="6"/>
      <c r="AG516" s="7"/>
      <c r="AH516" s="1"/>
      <c r="AI516" s="1"/>
    </row>
    <row r="517" spans="32:35" ht="15.75" customHeight="1" x14ac:dyDescent="0.25">
      <c r="AF517" s="6"/>
      <c r="AG517" s="7"/>
      <c r="AH517" s="1"/>
      <c r="AI517" s="1"/>
    </row>
    <row r="518" spans="32:35" ht="15.75" customHeight="1" x14ac:dyDescent="0.25">
      <c r="AF518" s="6"/>
      <c r="AG518" s="7"/>
      <c r="AH518" s="1"/>
      <c r="AI518" s="1"/>
    </row>
    <row r="519" spans="32:35" ht="15.75" customHeight="1" x14ac:dyDescent="0.25">
      <c r="AF519" s="6"/>
      <c r="AG519" s="7"/>
      <c r="AH519" s="1"/>
      <c r="AI519" s="1"/>
    </row>
    <row r="520" spans="32:35" ht="15.75" customHeight="1" x14ac:dyDescent="0.25">
      <c r="AF520" s="6"/>
      <c r="AG520" s="7"/>
      <c r="AH520" s="1"/>
      <c r="AI520" s="1"/>
    </row>
    <row r="521" spans="32:35" ht="15.75" customHeight="1" x14ac:dyDescent="0.25">
      <c r="AF521" s="6"/>
      <c r="AG521" s="7"/>
      <c r="AH521" s="1"/>
      <c r="AI521" s="1"/>
    </row>
    <row r="522" spans="32:35" ht="15.75" customHeight="1" x14ac:dyDescent="0.25">
      <c r="AF522" s="6"/>
      <c r="AG522" s="7"/>
      <c r="AH522" s="1"/>
      <c r="AI522" s="1"/>
    </row>
    <row r="523" spans="32:35" ht="15.75" customHeight="1" x14ac:dyDescent="0.25">
      <c r="AF523" s="6"/>
      <c r="AG523" s="7"/>
      <c r="AH523" s="1"/>
      <c r="AI523" s="1"/>
    </row>
    <row r="524" spans="32:35" ht="15.75" customHeight="1" x14ac:dyDescent="0.25">
      <c r="AF524" s="6"/>
      <c r="AG524" s="7"/>
      <c r="AH524" s="1"/>
      <c r="AI524" s="1"/>
    </row>
    <row r="525" spans="32:35" ht="15.75" customHeight="1" x14ac:dyDescent="0.25">
      <c r="AF525" s="6"/>
      <c r="AG525" s="7"/>
      <c r="AH525" s="1"/>
      <c r="AI525" s="1"/>
    </row>
    <row r="526" spans="32:35" ht="15.75" customHeight="1" x14ac:dyDescent="0.25">
      <c r="AF526" s="6"/>
      <c r="AG526" s="7"/>
      <c r="AH526" s="1"/>
      <c r="AI526" s="1"/>
    </row>
    <row r="527" spans="32:35" ht="15.75" customHeight="1" x14ac:dyDescent="0.25">
      <c r="AF527" s="6"/>
      <c r="AG527" s="7"/>
      <c r="AH527" s="1"/>
      <c r="AI527" s="1"/>
    </row>
    <row r="528" spans="32:35" ht="15.75" customHeight="1" x14ac:dyDescent="0.25">
      <c r="AF528" s="6"/>
      <c r="AG528" s="7"/>
      <c r="AH528" s="1"/>
      <c r="AI528" s="1"/>
    </row>
    <row r="529" spans="32:35" ht="15.75" customHeight="1" x14ac:dyDescent="0.25">
      <c r="AF529" s="6"/>
      <c r="AG529" s="7"/>
      <c r="AH529" s="1"/>
      <c r="AI529" s="1"/>
    </row>
    <row r="530" spans="32:35" ht="15.75" customHeight="1" x14ac:dyDescent="0.25">
      <c r="AF530" s="6"/>
      <c r="AG530" s="7"/>
      <c r="AH530" s="1"/>
      <c r="AI530" s="1"/>
    </row>
    <row r="531" spans="32:35" ht="15.75" customHeight="1" x14ac:dyDescent="0.25">
      <c r="AF531" s="6"/>
      <c r="AG531" s="7"/>
      <c r="AH531" s="1"/>
      <c r="AI531" s="1"/>
    </row>
    <row r="532" spans="32:35" ht="15.75" customHeight="1" x14ac:dyDescent="0.25">
      <c r="AF532" s="6"/>
      <c r="AG532" s="7"/>
      <c r="AH532" s="1"/>
      <c r="AI532" s="1"/>
    </row>
    <row r="533" spans="32:35" ht="15.75" customHeight="1" x14ac:dyDescent="0.25">
      <c r="AF533" s="6"/>
      <c r="AG533" s="7"/>
      <c r="AH533" s="1"/>
      <c r="AI533" s="1"/>
    </row>
    <row r="534" spans="32:35" ht="15.75" customHeight="1" x14ac:dyDescent="0.25">
      <c r="AF534" s="6"/>
      <c r="AG534" s="7"/>
      <c r="AH534" s="1"/>
      <c r="AI534" s="1"/>
    </row>
    <row r="535" spans="32:35" ht="15.75" customHeight="1" x14ac:dyDescent="0.25">
      <c r="AF535" s="6"/>
      <c r="AG535" s="7"/>
      <c r="AH535" s="1"/>
      <c r="AI535" s="1"/>
    </row>
    <row r="536" spans="32:35" ht="15.75" customHeight="1" x14ac:dyDescent="0.25">
      <c r="AF536" s="6"/>
      <c r="AG536" s="7"/>
      <c r="AH536" s="1"/>
      <c r="AI536" s="1"/>
    </row>
    <row r="537" spans="32:35" ht="15.75" customHeight="1" x14ac:dyDescent="0.25">
      <c r="AF537" s="6"/>
      <c r="AG537" s="7"/>
      <c r="AH537" s="1"/>
      <c r="AI537" s="1"/>
    </row>
    <row r="538" spans="32:35" ht="15.75" customHeight="1" x14ac:dyDescent="0.25">
      <c r="AF538" s="6"/>
      <c r="AG538" s="7"/>
      <c r="AH538" s="1"/>
      <c r="AI538" s="1"/>
    </row>
    <row r="539" spans="32:35" ht="15.75" customHeight="1" x14ac:dyDescent="0.25">
      <c r="AF539" s="6"/>
      <c r="AG539" s="7"/>
      <c r="AH539" s="1"/>
      <c r="AI539" s="1"/>
    </row>
    <row r="540" spans="32:35" ht="15.75" customHeight="1" x14ac:dyDescent="0.25">
      <c r="AF540" s="6"/>
      <c r="AG540" s="7"/>
      <c r="AH540" s="1"/>
      <c r="AI540" s="1"/>
    </row>
    <row r="541" spans="32:35" ht="15.75" customHeight="1" x14ac:dyDescent="0.25">
      <c r="AF541" s="6"/>
      <c r="AG541" s="7"/>
      <c r="AH541" s="1"/>
      <c r="AI541" s="1"/>
    </row>
    <row r="542" spans="32:35" ht="15.75" customHeight="1" x14ac:dyDescent="0.25">
      <c r="AF542" s="6"/>
      <c r="AG542" s="7"/>
      <c r="AH542" s="1"/>
      <c r="AI542" s="1"/>
    </row>
    <row r="543" spans="32:35" ht="15.75" customHeight="1" x14ac:dyDescent="0.25">
      <c r="AF543" s="6"/>
      <c r="AG543" s="7"/>
      <c r="AH543" s="1"/>
      <c r="AI543" s="1"/>
    </row>
    <row r="544" spans="32:35" ht="15.75" customHeight="1" x14ac:dyDescent="0.25">
      <c r="AF544" s="6"/>
      <c r="AG544" s="7"/>
      <c r="AH544" s="1"/>
      <c r="AI544" s="1"/>
    </row>
    <row r="545" spans="32:35" ht="15.75" customHeight="1" x14ac:dyDescent="0.25">
      <c r="AF545" s="6"/>
      <c r="AG545" s="7"/>
      <c r="AH545" s="1"/>
      <c r="AI545" s="1"/>
    </row>
    <row r="546" spans="32:35" ht="15.75" customHeight="1" x14ac:dyDescent="0.25">
      <c r="AF546" s="6"/>
      <c r="AG546" s="7"/>
      <c r="AH546" s="1"/>
      <c r="AI546" s="1"/>
    </row>
    <row r="547" spans="32:35" ht="15.75" customHeight="1" x14ac:dyDescent="0.25">
      <c r="AF547" s="6"/>
      <c r="AG547" s="7"/>
      <c r="AH547" s="1"/>
      <c r="AI547" s="1"/>
    </row>
    <row r="548" spans="32:35" ht="15.75" customHeight="1" x14ac:dyDescent="0.25">
      <c r="AF548" s="6"/>
      <c r="AG548" s="7"/>
      <c r="AH548" s="1"/>
      <c r="AI548" s="1"/>
    </row>
    <row r="549" spans="32:35" ht="15.75" customHeight="1" x14ac:dyDescent="0.25">
      <c r="AF549" s="6"/>
      <c r="AG549" s="7"/>
      <c r="AH549" s="1"/>
      <c r="AI549" s="1"/>
    </row>
    <row r="550" spans="32:35" ht="15.75" customHeight="1" x14ac:dyDescent="0.25">
      <c r="AF550" s="6"/>
      <c r="AG550" s="7"/>
      <c r="AH550" s="1"/>
      <c r="AI550" s="1"/>
    </row>
    <row r="551" spans="32:35" ht="15.75" customHeight="1" x14ac:dyDescent="0.25">
      <c r="AF551" s="6"/>
      <c r="AG551" s="7"/>
      <c r="AH551" s="1"/>
      <c r="AI551" s="1"/>
    </row>
    <row r="552" spans="32:35" ht="15.75" customHeight="1" x14ac:dyDescent="0.25">
      <c r="AF552" s="6"/>
      <c r="AG552" s="7"/>
      <c r="AH552" s="1"/>
      <c r="AI552" s="1"/>
    </row>
    <row r="553" spans="32:35" ht="15.75" customHeight="1" x14ac:dyDescent="0.25">
      <c r="AF553" s="6"/>
      <c r="AG553" s="7"/>
      <c r="AH553" s="1"/>
      <c r="AI553" s="1"/>
    </row>
    <row r="554" spans="32:35" ht="15.75" customHeight="1" x14ac:dyDescent="0.25">
      <c r="AF554" s="6"/>
      <c r="AG554" s="7"/>
      <c r="AH554" s="1"/>
      <c r="AI554" s="1"/>
    </row>
    <row r="555" spans="32:35" ht="15.75" customHeight="1" x14ac:dyDescent="0.25">
      <c r="AF555" s="6"/>
      <c r="AG555" s="7"/>
      <c r="AH555" s="1"/>
      <c r="AI555" s="1"/>
    </row>
    <row r="556" spans="32:35" ht="15.75" customHeight="1" x14ac:dyDescent="0.25">
      <c r="AF556" s="6"/>
      <c r="AG556" s="7"/>
      <c r="AH556" s="1"/>
      <c r="AI556" s="1"/>
    </row>
    <row r="557" spans="32:35" ht="15.75" customHeight="1" x14ac:dyDescent="0.25">
      <c r="AF557" s="6"/>
      <c r="AG557" s="7"/>
      <c r="AH557" s="1"/>
      <c r="AI557" s="1"/>
    </row>
    <row r="558" spans="32:35" ht="15.75" customHeight="1" x14ac:dyDescent="0.25">
      <c r="AF558" s="6"/>
      <c r="AG558" s="7"/>
      <c r="AH558" s="1"/>
      <c r="AI558" s="1"/>
    </row>
    <row r="559" spans="32:35" ht="15.75" customHeight="1" x14ac:dyDescent="0.25">
      <c r="AF559" s="6"/>
      <c r="AG559" s="7"/>
      <c r="AH559" s="1"/>
      <c r="AI559" s="1"/>
    </row>
    <row r="560" spans="32:35" ht="15.75" customHeight="1" x14ac:dyDescent="0.25">
      <c r="AF560" s="6"/>
      <c r="AG560" s="7"/>
      <c r="AH560" s="1"/>
      <c r="AI560" s="1"/>
    </row>
    <row r="561" spans="32:35" ht="15.75" customHeight="1" x14ac:dyDescent="0.25">
      <c r="AF561" s="6"/>
      <c r="AG561" s="7"/>
      <c r="AH561" s="1"/>
      <c r="AI561" s="1"/>
    </row>
    <row r="562" spans="32:35" ht="15.75" customHeight="1" x14ac:dyDescent="0.25">
      <c r="AF562" s="6"/>
      <c r="AG562" s="7"/>
      <c r="AH562" s="1"/>
      <c r="AI562" s="1"/>
    </row>
    <row r="563" spans="32:35" ht="15.75" customHeight="1" x14ac:dyDescent="0.25">
      <c r="AF563" s="6"/>
      <c r="AG563" s="7"/>
      <c r="AH563" s="1"/>
      <c r="AI563" s="1"/>
    </row>
    <row r="564" spans="32:35" ht="15.75" customHeight="1" x14ac:dyDescent="0.25">
      <c r="AF564" s="6"/>
      <c r="AG564" s="7"/>
      <c r="AH564" s="1"/>
      <c r="AI564" s="1"/>
    </row>
    <row r="565" spans="32:35" ht="15.75" customHeight="1" x14ac:dyDescent="0.25">
      <c r="AF565" s="6"/>
      <c r="AG565" s="7"/>
      <c r="AH565" s="1"/>
      <c r="AI565" s="1"/>
    </row>
    <row r="566" spans="32:35" ht="15.75" customHeight="1" x14ac:dyDescent="0.25">
      <c r="AF566" s="6"/>
      <c r="AG566" s="7"/>
      <c r="AH566" s="1"/>
      <c r="AI566" s="1"/>
    </row>
    <row r="567" spans="32:35" ht="15.75" customHeight="1" x14ac:dyDescent="0.25">
      <c r="AF567" s="6"/>
      <c r="AG567" s="7"/>
      <c r="AH567" s="1"/>
      <c r="AI567" s="1"/>
    </row>
    <row r="568" spans="32:35" ht="15.75" customHeight="1" x14ac:dyDescent="0.25">
      <c r="AF568" s="6"/>
      <c r="AG568" s="7"/>
      <c r="AH568" s="1"/>
      <c r="AI568" s="1"/>
    </row>
    <row r="569" spans="32:35" ht="15.75" customHeight="1" x14ac:dyDescent="0.25">
      <c r="AF569" s="6"/>
      <c r="AG569" s="7"/>
      <c r="AH569" s="1"/>
      <c r="AI569" s="1"/>
    </row>
    <row r="570" spans="32:35" ht="15.75" customHeight="1" x14ac:dyDescent="0.25">
      <c r="AF570" s="6"/>
      <c r="AG570" s="7"/>
      <c r="AH570" s="1"/>
      <c r="AI570" s="1"/>
    </row>
    <row r="571" spans="32:35" ht="15.75" customHeight="1" x14ac:dyDescent="0.25">
      <c r="AF571" s="6"/>
      <c r="AG571" s="7"/>
      <c r="AH571" s="1"/>
      <c r="AI571" s="1"/>
    </row>
    <row r="572" spans="32:35" ht="15.75" customHeight="1" x14ac:dyDescent="0.25">
      <c r="AF572" s="6"/>
      <c r="AG572" s="7"/>
      <c r="AH572" s="1"/>
      <c r="AI572" s="1"/>
    </row>
    <row r="573" spans="32:35" ht="15.75" customHeight="1" x14ac:dyDescent="0.25">
      <c r="AF573" s="6"/>
      <c r="AG573" s="7"/>
      <c r="AH573" s="1"/>
      <c r="AI573" s="1"/>
    </row>
    <row r="574" spans="32:35" ht="15.75" customHeight="1" x14ac:dyDescent="0.25">
      <c r="AF574" s="6"/>
      <c r="AG574" s="7"/>
      <c r="AH574" s="1"/>
      <c r="AI574" s="1"/>
    </row>
    <row r="575" spans="32:35" ht="15.75" customHeight="1" x14ac:dyDescent="0.25">
      <c r="AF575" s="6"/>
      <c r="AG575" s="7"/>
      <c r="AH575" s="1"/>
      <c r="AI575" s="1"/>
    </row>
    <row r="576" spans="32:35" ht="15.75" customHeight="1" x14ac:dyDescent="0.25">
      <c r="AF576" s="6"/>
      <c r="AG576" s="7"/>
      <c r="AH576" s="1"/>
      <c r="AI576" s="1"/>
    </row>
    <row r="577" spans="32:35" ht="15.75" customHeight="1" x14ac:dyDescent="0.25">
      <c r="AF577" s="6"/>
      <c r="AG577" s="7"/>
      <c r="AH577" s="1"/>
      <c r="AI577" s="1"/>
    </row>
    <row r="578" spans="32:35" ht="15.75" customHeight="1" x14ac:dyDescent="0.25">
      <c r="AF578" s="6"/>
      <c r="AG578" s="7"/>
      <c r="AH578" s="1"/>
      <c r="AI578" s="1"/>
    </row>
    <row r="579" spans="32:35" ht="15.75" customHeight="1" x14ac:dyDescent="0.25">
      <c r="AF579" s="6"/>
      <c r="AG579" s="7"/>
      <c r="AH579" s="1"/>
      <c r="AI579" s="1"/>
    </row>
    <row r="580" spans="32:35" ht="15.75" customHeight="1" x14ac:dyDescent="0.25">
      <c r="AF580" s="6"/>
      <c r="AG580" s="7"/>
      <c r="AH580" s="1"/>
      <c r="AI580" s="1"/>
    </row>
    <row r="581" spans="32:35" ht="15.75" customHeight="1" x14ac:dyDescent="0.25">
      <c r="AF581" s="6"/>
      <c r="AG581" s="7"/>
      <c r="AH581" s="1"/>
      <c r="AI581" s="1"/>
    </row>
    <row r="582" spans="32:35" ht="15.75" customHeight="1" x14ac:dyDescent="0.25">
      <c r="AF582" s="6"/>
      <c r="AG582" s="7"/>
      <c r="AH582" s="1"/>
      <c r="AI582" s="1"/>
    </row>
    <row r="583" spans="32:35" ht="15.75" customHeight="1" x14ac:dyDescent="0.25">
      <c r="AF583" s="6"/>
      <c r="AG583" s="7"/>
      <c r="AH583" s="1"/>
      <c r="AI583" s="1"/>
    </row>
    <row r="584" spans="32:35" ht="15.75" customHeight="1" x14ac:dyDescent="0.25">
      <c r="AF584" s="6"/>
      <c r="AG584" s="7"/>
      <c r="AH584" s="1"/>
      <c r="AI584" s="1"/>
    </row>
    <row r="585" spans="32:35" ht="15.75" customHeight="1" x14ac:dyDescent="0.25">
      <c r="AF585" s="6"/>
      <c r="AG585" s="7"/>
      <c r="AH585" s="1"/>
      <c r="AI585" s="1"/>
    </row>
    <row r="586" spans="32:35" ht="15.75" customHeight="1" x14ac:dyDescent="0.25">
      <c r="AF586" s="6"/>
      <c r="AG586" s="7"/>
      <c r="AH586" s="1"/>
      <c r="AI586" s="1"/>
    </row>
    <row r="587" spans="32:35" ht="15.75" customHeight="1" x14ac:dyDescent="0.25">
      <c r="AF587" s="6"/>
      <c r="AG587" s="7"/>
      <c r="AH587" s="1"/>
      <c r="AI587" s="1"/>
    </row>
    <row r="588" spans="32:35" ht="15.75" customHeight="1" x14ac:dyDescent="0.25">
      <c r="AF588" s="6"/>
      <c r="AG588" s="7"/>
      <c r="AH588" s="1"/>
      <c r="AI588" s="1"/>
    </row>
    <row r="589" spans="32:35" ht="15.75" customHeight="1" x14ac:dyDescent="0.25">
      <c r="AF589" s="6"/>
      <c r="AG589" s="7"/>
      <c r="AH589" s="1"/>
      <c r="AI589" s="1"/>
    </row>
    <row r="590" spans="32:35" ht="15.75" customHeight="1" x14ac:dyDescent="0.25">
      <c r="AF590" s="6"/>
      <c r="AG590" s="7"/>
      <c r="AH590" s="1"/>
      <c r="AI590" s="1"/>
    </row>
    <row r="591" spans="32:35" ht="15.75" customHeight="1" x14ac:dyDescent="0.25">
      <c r="AF591" s="6"/>
      <c r="AG591" s="7"/>
      <c r="AH591" s="1"/>
      <c r="AI591" s="1"/>
    </row>
    <row r="592" spans="32:35" ht="15.75" customHeight="1" x14ac:dyDescent="0.25">
      <c r="AF592" s="6"/>
      <c r="AG592" s="7"/>
      <c r="AH592" s="1"/>
      <c r="AI592" s="1"/>
    </row>
    <row r="593" spans="32:35" ht="15.75" customHeight="1" x14ac:dyDescent="0.25">
      <c r="AF593" s="6"/>
      <c r="AG593" s="7"/>
      <c r="AH593" s="1"/>
      <c r="AI593" s="1"/>
    </row>
    <row r="594" spans="32:35" ht="15.75" customHeight="1" x14ac:dyDescent="0.25">
      <c r="AF594" s="6"/>
      <c r="AG594" s="7"/>
      <c r="AH594" s="1"/>
      <c r="AI594" s="1"/>
    </row>
    <row r="595" spans="32:35" ht="15.75" customHeight="1" x14ac:dyDescent="0.25">
      <c r="AF595" s="6"/>
      <c r="AG595" s="7"/>
      <c r="AH595" s="1"/>
      <c r="AI595" s="1"/>
    </row>
    <row r="596" spans="32:35" ht="15.75" customHeight="1" x14ac:dyDescent="0.25">
      <c r="AF596" s="6"/>
      <c r="AG596" s="7"/>
      <c r="AH596" s="1"/>
      <c r="AI596" s="1"/>
    </row>
    <row r="597" spans="32:35" ht="15.75" customHeight="1" x14ac:dyDescent="0.25">
      <c r="AF597" s="6"/>
      <c r="AG597" s="7"/>
      <c r="AH597" s="1"/>
      <c r="AI597" s="1"/>
    </row>
    <row r="598" spans="32:35" ht="15.75" customHeight="1" x14ac:dyDescent="0.25">
      <c r="AF598" s="6"/>
      <c r="AG598" s="7"/>
      <c r="AH598" s="1"/>
      <c r="AI598" s="1"/>
    </row>
    <row r="599" spans="32:35" ht="15.75" customHeight="1" x14ac:dyDescent="0.25">
      <c r="AF599" s="6"/>
      <c r="AG599" s="7"/>
      <c r="AH599" s="1"/>
      <c r="AI599" s="1"/>
    </row>
    <row r="600" spans="32:35" ht="15.75" customHeight="1" x14ac:dyDescent="0.25">
      <c r="AF600" s="6"/>
      <c r="AG600" s="7"/>
      <c r="AH600" s="1"/>
      <c r="AI600" s="1"/>
    </row>
    <row r="601" spans="32:35" ht="15.75" customHeight="1" x14ac:dyDescent="0.25">
      <c r="AF601" s="6"/>
      <c r="AG601" s="7"/>
      <c r="AH601" s="1"/>
      <c r="AI601" s="1"/>
    </row>
    <row r="602" spans="32:35" ht="15.75" customHeight="1" x14ac:dyDescent="0.25">
      <c r="AF602" s="6"/>
      <c r="AG602" s="7"/>
      <c r="AH602" s="1"/>
      <c r="AI602" s="1"/>
    </row>
    <row r="603" spans="32:35" ht="15.75" customHeight="1" x14ac:dyDescent="0.25">
      <c r="AF603" s="6"/>
      <c r="AG603" s="7"/>
      <c r="AH603" s="1"/>
      <c r="AI603" s="1"/>
    </row>
    <row r="604" spans="32:35" ht="15.75" customHeight="1" x14ac:dyDescent="0.25">
      <c r="AF604" s="6"/>
      <c r="AG604" s="7"/>
      <c r="AH604" s="1"/>
      <c r="AI604" s="1"/>
    </row>
    <row r="605" spans="32:35" ht="15.75" customHeight="1" x14ac:dyDescent="0.25">
      <c r="AF605" s="6"/>
      <c r="AG605" s="7"/>
      <c r="AH605" s="1"/>
      <c r="AI605" s="1"/>
    </row>
    <row r="606" spans="32:35" ht="15.75" customHeight="1" x14ac:dyDescent="0.25">
      <c r="AF606" s="6"/>
      <c r="AG606" s="7"/>
      <c r="AH606" s="1"/>
      <c r="AI606" s="1"/>
    </row>
    <row r="607" spans="32:35" ht="15.75" customHeight="1" x14ac:dyDescent="0.25">
      <c r="AF607" s="6"/>
      <c r="AG607" s="7"/>
      <c r="AH607" s="1"/>
      <c r="AI607" s="1"/>
    </row>
    <row r="608" spans="32:35" ht="15.75" customHeight="1" x14ac:dyDescent="0.25">
      <c r="AF608" s="6"/>
      <c r="AG608" s="7"/>
      <c r="AH608" s="1"/>
      <c r="AI608" s="1"/>
    </row>
    <row r="609" spans="32:35" ht="15.75" customHeight="1" x14ac:dyDescent="0.25">
      <c r="AF609" s="6"/>
      <c r="AG609" s="7"/>
      <c r="AH609" s="1"/>
      <c r="AI609" s="1"/>
    </row>
    <row r="610" spans="32:35" ht="15.75" customHeight="1" x14ac:dyDescent="0.25">
      <c r="AF610" s="6"/>
      <c r="AG610" s="7"/>
      <c r="AH610" s="1"/>
      <c r="AI610" s="1"/>
    </row>
    <row r="611" spans="32:35" ht="15.75" customHeight="1" x14ac:dyDescent="0.25">
      <c r="AF611" s="6"/>
      <c r="AG611" s="7"/>
      <c r="AH611" s="1"/>
      <c r="AI611" s="1"/>
    </row>
    <row r="612" spans="32:35" ht="15.75" customHeight="1" x14ac:dyDescent="0.25">
      <c r="AF612" s="6"/>
      <c r="AG612" s="7"/>
      <c r="AH612" s="1"/>
      <c r="AI612" s="1"/>
    </row>
    <row r="613" spans="32:35" ht="15.75" customHeight="1" x14ac:dyDescent="0.25">
      <c r="AF613" s="6"/>
      <c r="AG613" s="7"/>
      <c r="AH613" s="1"/>
      <c r="AI613" s="1"/>
    </row>
    <row r="614" spans="32:35" ht="15.75" customHeight="1" x14ac:dyDescent="0.25">
      <c r="AF614" s="6"/>
      <c r="AG614" s="7"/>
      <c r="AH614" s="1"/>
      <c r="AI614" s="1"/>
    </row>
    <row r="615" spans="32:35" ht="15.75" customHeight="1" x14ac:dyDescent="0.25">
      <c r="AF615" s="6"/>
      <c r="AG615" s="7"/>
      <c r="AH615" s="1"/>
      <c r="AI615" s="1"/>
    </row>
    <row r="616" spans="32:35" ht="15.75" customHeight="1" x14ac:dyDescent="0.25">
      <c r="AF616" s="6"/>
      <c r="AG616" s="7"/>
      <c r="AH616" s="1"/>
      <c r="AI616" s="1"/>
    </row>
    <row r="617" spans="32:35" ht="15.75" customHeight="1" x14ac:dyDescent="0.25">
      <c r="AF617" s="6"/>
      <c r="AG617" s="7"/>
      <c r="AH617" s="1"/>
      <c r="AI617" s="1"/>
    </row>
    <row r="618" spans="32:35" ht="15.75" customHeight="1" x14ac:dyDescent="0.25">
      <c r="AF618" s="6"/>
      <c r="AG618" s="7"/>
      <c r="AH618" s="1"/>
      <c r="AI618" s="1"/>
    </row>
    <row r="619" spans="32:35" ht="15.75" customHeight="1" x14ac:dyDescent="0.25">
      <c r="AF619" s="6"/>
      <c r="AG619" s="7"/>
      <c r="AH619" s="1"/>
      <c r="AI619" s="1"/>
    </row>
    <row r="620" spans="32:35" ht="15.75" customHeight="1" x14ac:dyDescent="0.25">
      <c r="AF620" s="6"/>
      <c r="AG620" s="7"/>
      <c r="AH620" s="1"/>
      <c r="AI620" s="1"/>
    </row>
    <row r="621" spans="32:35" ht="15.75" customHeight="1" x14ac:dyDescent="0.25">
      <c r="AF621" s="6"/>
      <c r="AG621" s="7"/>
      <c r="AH621" s="1"/>
      <c r="AI621" s="1"/>
    </row>
    <row r="622" spans="32:35" ht="15.75" customHeight="1" x14ac:dyDescent="0.25">
      <c r="AF622" s="6"/>
      <c r="AG622" s="7"/>
      <c r="AH622" s="1"/>
      <c r="AI622" s="1"/>
    </row>
    <row r="623" spans="32:35" ht="15.75" customHeight="1" x14ac:dyDescent="0.25">
      <c r="AF623" s="6"/>
      <c r="AG623" s="7"/>
      <c r="AH623" s="1"/>
      <c r="AI623" s="1"/>
    </row>
    <row r="624" spans="32:35" ht="15.75" customHeight="1" x14ac:dyDescent="0.25">
      <c r="AF624" s="6"/>
      <c r="AG624" s="7"/>
      <c r="AH624" s="1"/>
      <c r="AI624" s="1"/>
    </row>
    <row r="625" spans="32:35" ht="15.75" customHeight="1" x14ac:dyDescent="0.25">
      <c r="AF625" s="6"/>
      <c r="AG625" s="7"/>
      <c r="AH625" s="1"/>
      <c r="AI625" s="1"/>
    </row>
    <row r="626" spans="32:35" ht="15.75" customHeight="1" x14ac:dyDescent="0.25">
      <c r="AF626" s="6"/>
      <c r="AG626" s="7"/>
      <c r="AH626" s="1"/>
      <c r="AI626" s="1"/>
    </row>
    <row r="627" spans="32:35" ht="15.75" customHeight="1" x14ac:dyDescent="0.25">
      <c r="AF627" s="6"/>
      <c r="AG627" s="7"/>
      <c r="AH627" s="1"/>
      <c r="AI627" s="1"/>
    </row>
    <row r="628" spans="32:35" ht="15.75" customHeight="1" x14ac:dyDescent="0.25">
      <c r="AF628" s="6"/>
      <c r="AG628" s="7"/>
      <c r="AH628" s="1"/>
      <c r="AI628" s="1"/>
    </row>
    <row r="629" spans="32:35" ht="15.75" customHeight="1" x14ac:dyDescent="0.25">
      <c r="AF629" s="6"/>
      <c r="AG629" s="7"/>
      <c r="AH629" s="1"/>
      <c r="AI629" s="1"/>
    </row>
    <row r="630" spans="32:35" ht="15.75" customHeight="1" x14ac:dyDescent="0.25">
      <c r="AF630" s="6"/>
      <c r="AG630" s="7"/>
      <c r="AH630" s="1"/>
      <c r="AI630" s="1"/>
    </row>
    <row r="631" spans="32:35" ht="15.75" customHeight="1" x14ac:dyDescent="0.25">
      <c r="AF631" s="6"/>
      <c r="AG631" s="7"/>
      <c r="AH631" s="1"/>
      <c r="AI631" s="1"/>
    </row>
    <row r="632" spans="32:35" ht="15.75" customHeight="1" x14ac:dyDescent="0.25">
      <c r="AF632" s="6"/>
      <c r="AG632" s="7"/>
      <c r="AH632" s="1"/>
      <c r="AI632" s="1"/>
    </row>
    <row r="633" spans="32:35" ht="15.75" customHeight="1" x14ac:dyDescent="0.25">
      <c r="AF633" s="6"/>
      <c r="AG633" s="7"/>
      <c r="AH633" s="1"/>
      <c r="AI633" s="1"/>
    </row>
    <row r="634" spans="32:35" ht="15.75" customHeight="1" x14ac:dyDescent="0.25">
      <c r="AF634" s="6"/>
      <c r="AG634" s="7"/>
      <c r="AH634" s="1"/>
      <c r="AI634" s="1"/>
    </row>
    <row r="635" spans="32:35" ht="15.75" customHeight="1" x14ac:dyDescent="0.25">
      <c r="AF635" s="6"/>
      <c r="AG635" s="7"/>
      <c r="AH635" s="1"/>
      <c r="AI635" s="1"/>
    </row>
    <row r="636" spans="32:35" ht="15.75" customHeight="1" x14ac:dyDescent="0.25">
      <c r="AF636" s="6"/>
      <c r="AG636" s="7"/>
      <c r="AH636" s="1"/>
      <c r="AI636" s="1"/>
    </row>
    <row r="637" spans="32:35" ht="15.75" customHeight="1" x14ac:dyDescent="0.25">
      <c r="AF637" s="6"/>
      <c r="AG637" s="7"/>
      <c r="AH637" s="1"/>
      <c r="AI637" s="1"/>
    </row>
    <row r="638" spans="32:35" ht="15.75" customHeight="1" x14ac:dyDescent="0.25">
      <c r="AF638" s="6"/>
      <c r="AG638" s="7"/>
      <c r="AH638" s="1"/>
      <c r="AI638" s="1"/>
    </row>
    <row r="639" spans="32:35" ht="15.75" customHeight="1" x14ac:dyDescent="0.25">
      <c r="AF639" s="6"/>
      <c r="AG639" s="7"/>
      <c r="AH639" s="1"/>
      <c r="AI639" s="1"/>
    </row>
    <row r="640" spans="32:35" ht="15.75" customHeight="1" x14ac:dyDescent="0.25">
      <c r="AF640" s="6"/>
      <c r="AG640" s="7"/>
      <c r="AH640" s="1"/>
      <c r="AI640" s="1"/>
    </row>
    <row r="641" spans="32:35" ht="15.75" customHeight="1" x14ac:dyDescent="0.25">
      <c r="AF641" s="6"/>
      <c r="AG641" s="7"/>
      <c r="AH641" s="1"/>
      <c r="AI641" s="1"/>
    </row>
    <row r="642" spans="32:35" ht="15.75" customHeight="1" x14ac:dyDescent="0.25">
      <c r="AF642" s="6"/>
      <c r="AG642" s="7"/>
      <c r="AH642" s="1"/>
      <c r="AI642" s="1"/>
    </row>
    <row r="643" spans="32:35" ht="15.75" customHeight="1" x14ac:dyDescent="0.25">
      <c r="AF643" s="6"/>
      <c r="AG643" s="7"/>
      <c r="AH643" s="1"/>
      <c r="AI643" s="1"/>
    </row>
    <row r="644" spans="32:35" ht="15.75" customHeight="1" x14ac:dyDescent="0.25">
      <c r="AF644" s="6"/>
      <c r="AG644" s="7"/>
      <c r="AH644" s="1"/>
      <c r="AI644" s="1"/>
    </row>
    <row r="645" spans="32:35" ht="15.75" customHeight="1" x14ac:dyDescent="0.25">
      <c r="AF645" s="6"/>
      <c r="AG645" s="7"/>
      <c r="AH645" s="1"/>
      <c r="AI645" s="1"/>
    </row>
    <row r="646" spans="32:35" ht="15.75" customHeight="1" x14ac:dyDescent="0.25">
      <c r="AF646" s="6"/>
      <c r="AG646" s="7"/>
      <c r="AH646" s="1"/>
      <c r="AI646" s="1"/>
    </row>
    <row r="647" spans="32:35" ht="15.75" customHeight="1" x14ac:dyDescent="0.25">
      <c r="AF647" s="6"/>
      <c r="AG647" s="7"/>
      <c r="AH647" s="1"/>
      <c r="AI647" s="1"/>
    </row>
    <row r="648" spans="32:35" ht="15.75" customHeight="1" x14ac:dyDescent="0.25">
      <c r="AF648" s="6"/>
      <c r="AG648" s="7"/>
      <c r="AH648" s="1"/>
      <c r="AI648" s="1"/>
    </row>
    <row r="649" spans="32:35" ht="15.75" customHeight="1" x14ac:dyDescent="0.25">
      <c r="AF649" s="6"/>
      <c r="AG649" s="7"/>
      <c r="AH649" s="1"/>
      <c r="AI649" s="1"/>
    </row>
    <row r="650" spans="32:35" ht="15.75" customHeight="1" x14ac:dyDescent="0.25">
      <c r="AF650" s="6"/>
      <c r="AG650" s="7"/>
      <c r="AH650" s="1"/>
      <c r="AI650" s="1"/>
    </row>
    <row r="651" spans="32:35" ht="15.75" customHeight="1" x14ac:dyDescent="0.25">
      <c r="AF651" s="6"/>
      <c r="AG651" s="7"/>
      <c r="AH651" s="1"/>
      <c r="AI651" s="1"/>
    </row>
    <row r="652" spans="32:35" ht="15.75" customHeight="1" x14ac:dyDescent="0.25">
      <c r="AF652" s="6"/>
      <c r="AG652" s="7"/>
      <c r="AH652" s="1"/>
      <c r="AI652" s="1"/>
    </row>
    <row r="653" spans="32:35" ht="15.75" customHeight="1" x14ac:dyDescent="0.25">
      <c r="AF653" s="6"/>
      <c r="AG653" s="7"/>
      <c r="AH653" s="1"/>
      <c r="AI653" s="1"/>
    </row>
    <row r="654" spans="32:35" ht="15.75" customHeight="1" x14ac:dyDescent="0.25">
      <c r="AF654" s="6"/>
      <c r="AG654" s="7"/>
      <c r="AH654" s="1"/>
      <c r="AI654" s="1"/>
    </row>
    <row r="655" spans="32:35" ht="15.75" customHeight="1" x14ac:dyDescent="0.25">
      <c r="AF655" s="6"/>
      <c r="AG655" s="7"/>
      <c r="AH655" s="1"/>
      <c r="AI655" s="1"/>
    </row>
    <row r="656" spans="32:35" ht="15.75" customHeight="1" x14ac:dyDescent="0.25">
      <c r="AF656" s="6"/>
      <c r="AG656" s="7"/>
      <c r="AH656" s="1"/>
      <c r="AI656" s="1"/>
    </row>
    <row r="657" spans="32:35" ht="15.75" customHeight="1" x14ac:dyDescent="0.25">
      <c r="AF657" s="6"/>
      <c r="AG657" s="7"/>
      <c r="AH657" s="1"/>
      <c r="AI657" s="1"/>
    </row>
    <row r="658" spans="32:35" ht="15.75" customHeight="1" x14ac:dyDescent="0.25">
      <c r="AF658" s="6"/>
      <c r="AG658" s="7"/>
      <c r="AH658" s="1"/>
      <c r="AI658" s="1"/>
    </row>
    <row r="659" spans="32:35" ht="15.75" customHeight="1" x14ac:dyDescent="0.25">
      <c r="AF659" s="6"/>
      <c r="AG659" s="7"/>
      <c r="AH659" s="1"/>
      <c r="AI659" s="1"/>
    </row>
    <row r="660" spans="32:35" ht="15.75" customHeight="1" x14ac:dyDescent="0.25">
      <c r="AF660" s="6"/>
      <c r="AG660" s="7"/>
      <c r="AH660" s="1"/>
      <c r="AI660" s="1"/>
    </row>
    <row r="661" spans="32:35" ht="15.75" customHeight="1" x14ac:dyDescent="0.25">
      <c r="AF661" s="6"/>
      <c r="AG661" s="7"/>
      <c r="AH661" s="1"/>
      <c r="AI661" s="1"/>
    </row>
    <row r="662" spans="32:35" ht="15.75" customHeight="1" x14ac:dyDescent="0.25">
      <c r="AF662" s="6"/>
      <c r="AG662" s="7"/>
      <c r="AH662" s="1"/>
      <c r="AI662" s="1"/>
    </row>
    <row r="663" spans="32:35" ht="15.75" customHeight="1" x14ac:dyDescent="0.25">
      <c r="AF663" s="6"/>
      <c r="AG663" s="7"/>
      <c r="AH663" s="1"/>
      <c r="AI663" s="1"/>
    </row>
    <row r="664" spans="32:35" ht="15.75" customHeight="1" x14ac:dyDescent="0.25">
      <c r="AF664" s="6"/>
      <c r="AG664" s="7"/>
      <c r="AH664" s="1"/>
      <c r="AI664" s="1"/>
    </row>
    <row r="665" spans="32:35" ht="15.75" customHeight="1" x14ac:dyDescent="0.25">
      <c r="AF665" s="6"/>
      <c r="AG665" s="7"/>
      <c r="AH665" s="1"/>
      <c r="AI665" s="1"/>
    </row>
    <row r="666" spans="32:35" ht="15.75" customHeight="1" x14ac:dyDescent="0.25">
      <c r="AF666" s="6"/>
      <c r="AG666" s="7"/>
      <c r="AH666" s="1"/>
      <c r="AI666" s="1"/>
    </row>
    <row r="667" spans="32:35" ht="15.75" customHeight="1" x14ac:dyDescent="0.25">
      <c r="AF667" s="6"/>
      <c r="AG667" s="7"/>
      <c r="AH667" s="1"/>
      <c r="AI667" s="1"/>
    </row>
    <row r="668" spans="32:35" ht="15.75" customHeight="1" x14ac:dyDescent="0.25">
      <c r="AF668" s="6"/>
      <c r="AG668" s="7"/>
      <c r="AH668" s="1"/>
      <c r="AI668" s="1"/>
    </row>
    <row r="669" spans="32:35" ht="15.75" customHeight="1" x14ac:dyDescent="0.25">
      <c r="AF669" s="6"/>
      <c r="AG669" s="7"/>
      <c r="AH669" s="1"/>
      <c r="AI669" s="1"/>
    </row>
    <row r="670" spans="32:35" ht="15.75" customHeight="1" x14ac:dyDescent="0.25">
      <c r="AF670" s="6"/>
      <c r="AG670" s="7"/>
      <c r="AH670" s="1"/>
      <c r="AI670" s="1"/>
    </row>
    <row r="671" spans="32:35" ht="15.75" customHeight="1" x14ac:dyDescent="0.25">
      <c r="AF671" s="6"/>
      <c r="AG671" s="7"/>
      <c r="AH671" s="1"/>
      <c r="AI671" s="1"/>
    </row>
    <row r="672" spans="32:35" ht="15.75" customHeight="1" x14ac:dyDescent="0.25">
      <c r="AF672" s="6"/>
      <c r="AG672" s="7"/>
      <c r="AH672" s="1"/>
      <c r="AI672" s="1"/>
    </row>
    <row r="673" spans="32:35" ht="15.75" customHeight="1" x14ac:dyDescent="0.25">
      <c r="AF673" s="6"/>
      <c r="AG673" s="7"/>
      <c r="AH673" s="1"/>
      <c r="AI673" s="1"/>
    </row>
    <row r="674" spans="32:35" ht="15.75" customHeight="1" x14ac:dyDescent="0.25">
      <c r="AF674" s="6"/>
      <c r="AG674" s="7"/>
      <c r="AH674" s="1"/>
      <c r="AI674" s="1"/>
    </row>
    <row r="675" spans="32:35" ht="15.75" customHeight="1" x14ac:dyDescent="0.25">
      <c r="AF675" s="6"/>
      <c r="AG675" s="7"/>
      <c r="AH675" s="1"/>
      <c r="AI675" s="1"/>
    </row>
    <row r="676" spans="32:35" ht="15.75" customHeight="1" x14ac:dyDescent="0.25">
      <c r="AF676" s="6"/>
      <c r="AG676" s="7"/>
      <c r="AH676" s="1"/>
      <c r="AI676" s="1"/>
    </row>
    <row r="677" spans="32:35" ht="15.75" customHeight="1" x14ac:dyDescent="0.25">
      <c r="AF677" s="6"/>
      <c r="AG677" s="7"/>
      <c r="AH677" s="1"/>
      <c r="AI677" s="1"/>
    </row>
    <row r="678" spans="32:35" ht="15.75" customHeight="1" x14ac:dyDescent="0.25">
      <c r="AF678" s="6"/>
      <c r="AG678" s="7"/>
      <c r="AH678" s="1"/>
      <c r="AI678" s="1"/>
    </row>
    <row r="679" spans="32:35" ht="15.75" customHeight="1" x14ac:dyDescent="0.25">
      <c r="AF679" s="6"/>
      <c r="AG679" s="7"/>
      <c r="AH679" s="1"/>
      <c r="AI679" s="1"/>
    </row>
    <row r="680" spans="32:35" ht="15.75" customHeight="1" x14ac:dyDescent="0.25">
      <c r="AF680" s="6"/>
      <c r="AG680" s="7"/>
      <c r="AH680" s="1"/>
      <c r="AI680" s="1"/>
    </row>
    <row r="681" spans="32:35" ht="15.75" customHeight="1" x14ac:dyDescent="0.25">
      <c r="AF681" s="6"/>
      <c r="AG681" s="7"/>
      <c r="AH681" s="1"/>
      <c r="AI681" s="1"/>
    </row>
    <row r="682" spans="32:35" ht="15.75" customHeight="1" x14ac:dyDescent="0.25">
      <c r="AF682" s="6"/>
      <c r="AG682" s="7"/>
      <c r="AH682" s="1"/>
      <c r="AI682" s="1"/>
    </row>
    <row r="683" spans="32:35" ht="15.75" customHeight="1" x14ac:dyDescent="0.25">
      <c r="AF683" s="6"/>
      <c r="AG683" s="7"/>
      <c r="AH683" s="1"/>
      <c r="AI683" s="1"/>
    </row>
    <row r="684" spans="32:35" ht="15.75" customHeight="1" x14ac:dyDescent="0.25">
      <c r="AF684" s="6"/>
      <c r="AG684" s="7"/>
      <c r="AH684" s="1"/>
      <c r="AI684" s="1"/>
    </row>
    <row r="685" spans="32:35" ht="15.75" customHeight="1" x14ac:dyDescent="0.25">
      <c r="AF685" s="6"/>
      <c r="AG685" s="7"/>
      <c r="AH685" s="1"/>
      <c r="AI685" s="1"/>
    </row>
    <row r="686" spans="32:35" ht="15.75" customHeight="1" x14ac:dyDescent="0.25">
      <c r="AF686" s="6"/>
      <c r="AG686" s="7"/>
      <c r="AH686" s="1"/>
      <c r="AI686" s="1"/>
    </row>
    <row r="687" spans="32:35" ht="15.75" customHeight="1" x14ac:dyDescent="0.25">
      <c r="AF687" s="6"/>
      <c r="AG687" s="7"/>
      <c r="AH687" s="1"/>
      <c r="AI687" s="1"/>
    </row>
    <row r="688" spans="32:35" ht="15.75" customHeight="1" x14ac:dyDescent="0.25">
      <c r="AF688" s="6"/>
      <c r="AG688" s="7"/>
      <c r="AH688" s="1"/>
      <c r="AI688" s="1"/>
    </row>
    <row r="689" spans="32:35" ht="15.75" customHeight="1" x14ac:dyDescent="0.25">
      <c r="AF689" s="6"/>
      <c r="AG689" s="7"/>
      <c r="AH689" s="1"/>
      <c r="AI689" s="1"/>
    </row>
    <row r="690" spans="32:35" ht="15.75" customHeight="1" x14ac:dyDescent="0.25">
      <c r="AF690" s="6"/>
      <c r="AG690" s="7"/>
      <c r="AH690" s="1"/>
      <c r="AI690" s="1"/>
    </row>
    <row r="691" spans="32:35" ht="15.75" customHeight="1" x14ac:dyDescent="0.25">
      <c r="AF691" s="6"/>
      <c r="AG691" s="7"/>
      <c r="AH691" s="1"/>
      <c r="AI691" s="1"/>
    </row>
    <row r="692" spans="32:35" ht="15.75" customHeight="1" x14ac:dyDescent="0.25">
      <c r="AF692" s="6"/>
      <c r="AG692" s="7"/>
      <c r="AH692" s="1"/>
      <c r="AI692" s="1"/>
    </row>
    <row r="693" spans="32:35" ht="15.75" customHeight="1" x14ac:dyDescent="0.25">
      <c r="AF693" s="6"/>
      <c r="AG693" s="7"/>
      <c r="AH693" s="1"/>
      <c r="AI693" s="1"/>
    </row>
    <row r="694" spans="32:35" ht="15.75" customHeight="1" x14ac:dyDescent="0.25">
      <c r="AF694" s="6"/>
      <c r="AG694" s="7"/>
      <c r="AH694" s="1"/>
      <c r="AI694" s="1"/>
    </row>
    <row r="695" spans="32:35" ht="15.75" customHeight="1" x14ac:dyDescent="0.25">
      <c r="AF695" s="6"/>
      <c r="AG695" s="7"/>
      <c r="AH695" s="1"/>
      <c r="AI695" s="1"/>
    </row>
    <row r="696" spans="32:35" ht="15.75" customHeight="1" x14ac:dyDescent="0.25">
      <c r="AF696" s="6"/>
      <c r="AG696" s="7"/>
      <c r="AH696" s="1"/>
      <c r="AI696" s="1"/>
    </row>
    <row r="697" spans="32:35" ht="15.75" customHeight="1" x14ac:dyDescent="0.25">
      <c r="AF697" s="6"/>
      <c r="AG697" s="7"/>
      <c r="AH697" s="1"/>
      <c r="AI697" s="1"/>
    </row>
    <row r="698" spans="32:35" ht="15.75" customHeight="1" x14ac:dyDescent="0.25">
      <c r="AF698" s="6"/>
      <c r="AG698" s="7"/>
      <c r="AH698" s="1"/>
      <c r="AI698" s="1"/>
    </row>
    <row r="699" spans="32:35" ht="15.75" customHeight="1" x14ac:dyDescent="0.25">
      <c r="AF699" s="6"/>
      <c r="AG699" s="7"/>
      <c r="AH699" s="1"/>
      <c r="AI699" s="1"/>
    </row>
    <row r="700" spans="32:35" ht="15.75" customHeight="1" x14ac:dyDescent="0.25">
      <c r="AF700" s="6"/>
      <c r="AG700" s="7"/>
      <c r="AH700" s="1"/>
      <c r="AI700" s="1"/>
    </row>
    <row r="701" spans="32:35" ht="15.75" customHeight="1" x14ac:dyDescent="0.25">
      <c r="AF701" s="6"/>
      <c r="AG701" s="7"/>
      <c r="AH701" s="1"/>
      <c r="AI701" s="1"/>
    </row>
    <row r="702" spans="32:35" ht="15.75" customHeight="1" x14ac:dyDescent="0.25">
      <c r="AF702" s="6"/>
      <c r="AG702" s="7"/>
      <c r="AH702" s="1"/>
      <c r="AI702" s="1"/>
    </row>
    <row r="703" spans="32:35" ht="15.75" customHeight="1" x14ac:dyDescent="0.25">
      <c r="AF703" s="6"/>
      <c r="AG703" s="7"/>
      <c r="AH703" s="1"/>
      <c r="AI703" s="1"/>
    </row>
    <row r="704" spans="32:35" ht="15.75" customHeight="1" x14ac:dyDescent="0.25">
      <c r="AF704" s="6"/>
      <c r="AG704" s="7"/>
      <c r="AH704" s="1"/>
      <c r="AI704" s="1"/>
    </row>
    <row r="705" spans="32:35" ht="15.75" customHeight="1" x14ac:dyDescent="0.25">
      <c r="AF705" s="6"/>
      <c r="AG705" s="7"/>
      <c r="AH705" s="1"/>
      <c r="AI705" s="1"/>
    </row>
    <row r="706" spans="32:35" ht="15.75" customHeight="1" x14ac:dyDescent="0.25">
      <c r="AF706" s="6"/>
      <c r="AG706" s="7"/>
      <c r="AH706" s="1"/>
      <c r="AI706" s="1"/>
    </row>
    <row r="707" spans="32:35" ht="15.75" customHeight="1" x14ac:dyDescent="0.25">
      <c r="AF707" s="6"/>
      <c r="AG707" s="7"/>
      <c r="AH707" s="1"/>
      <c r="AI707" s="1"/>
    </row>
    <row r="708" spans="32:35" ht="15.75" customHeight="1" x14ac:dyDescent="0.25">
      <c r="AF708" s="6"/>
      <c r="AG708" s="7"/>
      <c r="AH708" s="1"/>
      <c r="AI708" s="1"/>
    </row>
    <row r="709" spans="32:35" ht="15.75" customHeight="1" x14ac:dyDescent="0.25">
      <c r="AF709" s="6"/>
      <c r="AG709" s="7"/>
      <c r="AH709" s="1"/>
      <c r="AI709" s="1"/>
    </row>
    <row r="710" spans="32:35" ht="15.75" customHeight="1" x14ac:dyDescent="0.25">
      <c r="AF710" s="6"/>
      <c r="AG710" s="7"/>
      <c r="AH710" s="1"/>
      <c r="AI710" s="1"/>
    </row>
    <row r="711" spans="32:35" ht="15.75" customHeight="1" x14ac:dyDescent="0.25">
      <c r="AF711" s="6"/>
      <c r="AG711" s="7"/>
      <c r="AH711" s="1"/>
      <c r="AI711" s="1"/>
    </row>
    <row r="712" spans="32:35" ht="15.75" customHeight="1" x14ac:dyDescent="0.25">
      <c r="AF712" s="6"/>
      <c r="AG712" s="7"/>
      <c r="AH712" s="1"/>
      <c r="AI712" s="1"/>
    </row>
    <row r="713" spans="32:35" ht="15.75" customHeight="1" x14ac:dyDescent="0.25">
      <c r="AF713" s="6"/>
      <c r="AG713" s="7"/>
      <c r="AH713" s="1"/>
      <c r="AI713" s="1"/>
    </row>
    <row r="714" spans="32:35" ht="15.75" customHeight="1" x14ac:dyDescent="0.25">
      <c r="AF714" s="6"/>
      <c r="AG714" s="7"/>
      <c r="AH714" s="1"/>
      <c r="AI714" s="1"/>
    </row>
    <row r="715" spans="32:35" ht="15.75" customHeight="1" x14ac:dyDescent="0.25">
      <c r="AF715" s="6"/>
      <c r="AG715" s="7"/>
      <c r="AH715" s="1"/>
      <c r="AI715" s="1"/>
    </row>
    <row r="716" spans="32:35" ht="15.75" customHeight="1" x14ac:dyDescent="0.25">
      <c r="AF716" s="6"/>
      <c r="AG716" s="7"/>
      <c r="AH716" s="1"/>
      <c r="AI716" s="1"/>
    </row>
    <row r="717" spans="32:35" ht="15.75" customHeight="1" x14ac:dyDescent="0.25">
      <c r="AF717" s="6"/>
      <c r="AG717" s="7"/>
      <c r="AH717" s="1"/>
      <c r="AI717" s="1"/>
    </row>
    <row r="718" spans="32:35" ht="15.75" customHeight="1" x14ac:dyDescent="0.25">
      <c r="AF718" s="6"/>
      <c r="AG718" s="7"/>
      <c r="AH718" s="1"/>
      <c r="AI718" s="1"/>
    </row>
    <row r="719" spans="32:35" ht="15.75" customHeight="1" x14ac:dyDescent="0.25">
      <c r="AF719" s="6"/>
      <c r="AG719" s="7"/>
      <c r="AH719" s="1"/>
      <c r="AI719" s="1"/>
    </row>
    <row r="720" spans="32:35" ht="15.75" customHeight="1" x14ac:dyDescent="0.25">
      <c r="AF720" s="6"/>
      <c r="AG720" s="7"/>
      <c r="AH720" s="1"/>
      <c r="AI720" s="1"/>
    </row>
    <row r="721" spans="32:35" ht="15.75" customHeight="1" x14ac:dyDescent="0.25">
      <c r="AF721" s="6"/>
      <c r="AG721" s="7"/>
      <c r="AH721" s="1"/>
      <c r="AI721" s="1"/>
    </row>
    <row r="722" spans="32:35" ht="15.75" customHeight="1" x14ac:dyDescent="0.25">
      <c r="AF722" s="6"/>
      <c r="AG722" s="7"/>
      <c r="AH722" s="1"/>
      <c r="AI722" s="1"/>
    </row>
    <row r="723" spans="32:35" ht="15.75" customHeight="1" x14ac:dyDescent="0.25">
      <c r="AF723" s="6"/>
      <c r="AG723" s="7"/>
      <c r="AH723" s="1"/>
      <c r="AI723" s="1"/>
    </row>
    <row r="724" spans="32:35" ht="15.75" customHeight="1" x14ac:dyDescent="0.25">
      <c r="AF724" s="6"/>
      <c r="AG724" s="7"/>
      <c r="AH724" s="1"/>
      <c r="AI724" s="1"/>
    </row>
    <row r="725" spans="32:35" ht="15.75" customHeight="1" x14ac:dyDescent="0.25">
      <c r="AF725" s="6"/>
      <c r="AG725" s="7"/>
      <c r="AH725" s="1"/>
      <c r="AI725" s="1"/>
    </row>
    <row r="726" spans="32:35" ht="15.75" customHeight="1" x14ac:dyDescent="0.25">
      <c r="AF726" s="6"/>
      <c r="AG726" s="7"/>
      <c r="AH726" s="1"/>
      <c r="AI726" s="1"/>
    </row>
    <row r="727" spans="32:35" ht="15.75" customHeight="1" x14ac:dyDescent="0.25">
      <c r="AF727" s="6"/>
      <c r="AG727" s="7"/>
      <c r="AH727" s="1"/>
      <c r="AI727" s="1"/>
    </row>
    <row r="728" spans="32:35" ht="15.75" customHeight="1" x14ac:dyDescent="0.25">
      <c r="AF728" s="6"/>
      <c r="AG728" s="7"/>
      <c r="AH728" s="1"/>
      <c r="AI728" s="1"/>
    </row>
    <row r="729" spans="32:35" ht="15.75" customHeight="1" x14ac:dyDescent="0.25">
      <c r="AF729" s="6"/>
      <c r="AG729" s="7"/>
      <c r="AH729" s="1"/>
      <c r="AI729" s="1"/>
    </row>
    <row r="730" spans="32:35" ht="15.75" customHeight="1" x14ac:dyDescent="0.25">
      <c r="AF730" s="6"/>
      <c r="AG730" s="7"/>
      <c r="AH730" s="1"/>
      <c r="AI730" s="1"/>
    </row>
    <row r="731" spans="32:35" ht="15.75" customHeight="1" x14ac:dyDescent="0.25">
      <c r="AF731" s="6"/>
      <c r="AG731" s="7"/>
      <c r="AH731" s="1"/>
      <c r="AI731" s="1"/>
    </row>
    <row r="732" spans="32:35" ht="15.75" customHeight="1" x14ac:dyDescent="0.25">
      <c r="AF732" s="6"/>
      <c r="AG732" s="7"/>
      <c r="AH732" s="1"/>
      <c r="AI732" s="1"/>
    </row>
    <row r="733" spans="32:35" ht="15.75" customHeight="1" x14ac:dyDescent="0.25">
      <c r="AF733" s="6"/>
      <c r="AG733" s="7"/>
      <c r="AH733" s="1"/>
      <c r="AI733" s="1"/>
    </row>
    <row r="734" spans="32:35" ht="15.75" customHeight="1" x14ac:dyDescent="0.25">
      <c r="AF734" s="6"/>
      <c r="AG734" s="7"/>
      <c r="AH734" s="1"/>
      <c r="AI734" s="1"/>
    </row>
    <row r="735" spans="32:35" ht="15.75" customHeight="1" x14ac:dyDescent="0.25">
      <c r="AF735" s="6"/>
      <c r="AG735" s="7"/>
      <c r="AH735" s="1"/>
      <c r="AI735" s="1"/>
    </row>
    <row r="736" spans="32:35" ht="15.75" customHeight="1" x14ac:dyDescent="0.25">
      <c r="AF736" s="6"/>
      <c r="AG736" s="7"/>
      <c r="AH736" s="1"/>
      <c r="AI736" s="1"/>
    </row>
    <row r="737" spans="32:35" ht="15.75" customHeight="1" x14ac:dyDescent="0.25">
      <c r="AF737" s="6"/>
      <c r="AG737" s="7"/>
      <c r="AH737" s="1"/>
      <c r="AI737" s="1"/>
    </row>
    <row r="738" spans="32:35" ht="15.75" customHeight="1" x14ac:dyDescent="0.25">
      <c r="AF738" s="6"/>
      <c r="AG738" s="7"/>
      <c r="AH738" s="1"/>
      <c r="AI738" s="1"/>
    </row>
    <row r="739" spans="32:35" ht="15.75" customHeight="1" x14ac:dyDescent="0.25">
      <c r="AF739" s="6"/>
      <c r="AG739" s="7"/>
      <c r="AH739" s="1"/>
      <c r="AI739" s="1"/>
    </row>
    <row r="740" spans="32:35" ht="15.75" customHeight="1" x14ac:dyDescent="0.25">
      <c r="AF740" s="6"/>
      <c r="AG740" s="7"/>
      <c r="AH740" s="1"/>
      <c r="AI740" s="1"/>
    </row>
    <row r="741" spans="32:35" ht="15.75" customHeight="1" x14ac:dyDescent="0.25">
      <c r="AF741" s="6"/>
      <c r="AG741" s="7"/>
      <c r="AH741" s="1"/>
      <c r="AI741" s="1"/>
    </row>
    <row r="742" spans="32:35" ht="15.75" customHeight="1" x14ac:dyDescent="0.25">
      <c r="AF742" s="6"/>
      <c r="AG742" s="7"/>
      <c r="AH742" s="1"/>
      <c r="AI742" s="1"/>
    </row>
    <row r="743" spans="32:35" ht="15.75" customHeight="1" x14ac:dyDescent="0.25">
      <c r="AF743" s="6"/>
      <c r="AG743" s="7"/>
      <c r="AH743" s="1"/>
      <c r="AI743" s="1"/>
    </row>
    <row r="744" spans="32:35" ht="15.75" customHeight="1" x14ac:dyDescent="0.25">
      <c r="AF744" s="6"/>
      <c r="AG744" s="7"/>
      <c r="AH744" s="1"/>
      <c r="AI744" s="1"/>
    </row>
    <row r="745" spans="32:35" ht="15.75" customHeight="1" x14ac:dyDescent="0.25">
      <c r="AF745" s="6"/>
      <c r="AG745" s="7"/>
      <c r="AH745" s="1"/>
      <c r="AI745" s="1"/>
    </row>
    <row r="746" spans="32:35" ht="15.75" customHeight="1" x14ac:dyDescent="0.25">
      <c r="AF746" s="6"/>
      <c r="AG746" s="7"/>
      <c r="AH746" s="1"/>
      <c r="AI746" s="1"/>
    </row>
    <row r="747" spans="32:35" ht="15.75" customHeight="1" x14ac:dyDescent="0.25">
      <c r="AF747" s="6"/>
      <c r="AG747" s="7"/>
      <c r="AH747" s="1"/>
      <c r="AI747" s="1"/>
    </row>
    <row r="748" spans="32:35" ht="15.75" customHeight="1" x14ac:dyDescent="0.25">
      <c r="AF748" s="6"/>
      <c r="AG748" s="7"/>
      <c r="AH748" s="1"/>
      <c r="AI748" s="1"/>
    </row>
    <row r="749" spans="32:35" ht="15.75" customHeight="1" x14ac:dyDescent="0.25">
      <c r="AF749" s="6"/>
      <c r="AG749" s="7"/>
      <c r="AH749" s="1"/>
      <c r="AI749" s="1"/>
    </row>
    <row r="750" spans="32:35" ht="15.75" customHeight="1" x14ac:dyDescent="0.25">
      <c r="AF750" s="6"/>
      <c r="AG750" s="7"/>
      <c r="AH750" s="1"/>
      <c r="AI750" s="1"/>
    </row>
    <row r="751" spans="32:35" ht="15.75" customHeight="1" x14ac:dyDescent="0.25">
      <c r="AF751" s="6"/>
      <c r="AG751" s="7"/>
      <c r="AH751" s="1"/>
      <c r="AI751" s="1"/>
    </row>
    <row r="752" spans="32:35" ht="15.75" customHeight="1" x14ac:dyDescent="0.25">
      <c r="AF752" s="6"/>
      <c r="AG752" s="7"/>
      <c r="AH752" s="1"/>
      <c r="AI752" s="1"/>
    </row>
    <row r="753" spans="32:35" ht="15.75" customHeight="1" x14ac:dyDescent="0.25">
      <c r="AF753" s="6"/>
      <c r="AG753" s="7"/>
      <c r="AH753" s="1"/>
      <c r="AI753" s="1"/>
    </row>
    <row r="754" spans="32:35" ht="15.75" customHeight="1" x14ac:dyDescent="0.25">
      <c r="AF754" s="6"/>
      <c r="AG754" s="7"/>
      <c r="AH754" s="1"/>
      <c r="AI754" s="1"/>
    </row>
    <row r="755" spans="32:35" ht="15.75" customHeight="1" x14ac:dyDescent="0.25">
      <c r="AF755" s="6"/>
      <c r="AG755" s="7"/>
      <c r="AH755" s="1"/>
      <c r="AI755" s="1"/>
    </row>
    <row r="756" spans="32:35" ht="15.75" customHeight="1" x14ac:dyDescent="0.25">
      <c r="AF756" s="6"/>
      <c r="AG756" s="7"/>
      <c r="AH756" s="1"/>
      <c r="AI756" s="1"/>
    </row>
    <row r="757" spans="32:35" ht="15.75" customHeight="1" x14ac:dyDescent="0.25">
      <c r="AF757" s="6"/>
      <c r="AG757" s="7"/>
      <c r="AH757" s="1"/>
      <c r="AI757" s="1"/>
    </row>
    <row r="758" spans="32:35" ht="15.75" customHeight="1" x14ac:dyDescent="0.25">
      <c r="AF758" s="6"/>
      <c r="AG758" s="7"/>
      <c r="AH758" s="1"/>
      <c r="AI758" s="1"/>
    </row>
    <row r="759" spans="32:35" ht="15.75" customHeight="1" x14ac:dyDescent="0.25">
      <c r="AF759" s="6"/>
      <c r="AG759" s="7"/>
      <c r="AH759" s="1"/>
      <c r="AI759" s="1"/>
    </row>
    <row r="760" spans="32:35" ht="15.75" customHeight="1" x14ac:dyDescent="0.25">
      <c r="AF760" s="6"/>
      <c r="AG760" s="7"/>
      <c r="AH760" s="1"/>
      <c r="AI760" s="1"/>
    </row>
    <row r="761" spans="32:35" ht="15.75" customHeight="1" x14ac:dyDescent="0.25">
      <c r="AF761" s="6"/>
      <c r="AG761" s="7"/>
      <c r="AH761" s="1"/>
      <c r="AI761" s="1"/>
    </row>
    <row r="762" spans="32:35" ht="15.75" customHeight="1" x14ac:dyDescent="0.25">
      <c r="AF762" s="6"/>
      <c r="AG762" s="7"/>
      <c r="AH762" s="1"/>
      <c r="AI762" s="1"/>
    </row>
    <row r="763" spans="32:35" ht="15.75" customHeight="1" x14ac:dyDescent="0.25">
      <c r="AF763" s="6"/>
      <c r="AG763" s="7"/>
      <c r="AH763" s="1"/>
      <c r="AI763" s="1"/>
    </row>
    <row r="764" spans="32:35" ht="15.75" customHeight="1" x14ac:dyDescent="0.25">
      <c r="AF764" s="6"/>
      <c r="AG764" s="7"/>
      <c r="AH764" s="1"/>
      <c r="AI764" s="1"/>
    </row>
    <row r="765" spans="32:35" ht="15.75" customHeight="1" x14ac:dyDescent="0.25">
      <c r="AF765" s="6"/>
      <c r="AG765" s="7"/>
      <c r="AH765" s="1"/>
      <c r="AI765" s="1"/>
    </row>
    <row r="766" spans="32:35" ht="15.75" customHeight="1" x14ac:dyDescent="0.25">
      <c r="AF766" s="6"/>
      <c r="AG766" s="7"/>
      <c r="AH766" s="1"/>
      <c r="AI766" s="1"/>
    </row>
    <row r="767" spans="32:35" ht="15.75" customHeight="1" x14ac:dyDescent="0.25">
      <c r="AF767" s="6"/>
      <c r="AG767" s="7"/>
      <c r="AH767" s="1"/>
      <c r="AI767" s="1"/>
    </row>
    <row r="768" spans="32:35" ht="15.75" customHeight="1" x14ac:dyDescent="0.25">
      <c r="AF768" s="6"/>
      <c r="AG768" s="7"/>
      <c r="AH768" s="1"/>
      <c r="AI768" s="1"/>
    </row>
    <row r="769" spans="32:35" ht="15.75" customHeight="1" x14ac:dyDescent="0.25">
      <c r="AF769" s="6"/>
      <c r="AG769" s="7"/>
      <c r="AH769" s="1"/>
      <c r="AI769" s="1"/>
    </row>
    <row r="770" spans="32:35" ht="15.75" customHeight="1" x14ac:dyDescent="0.25">
      <c r="AF770" s="6"/>
      <c r="AG770" s="7"/>
      <c r="AH770" s="1"/>
      <c r="AI770" s="1"/>
    </row>
    <row r="771" spans="32:35" ht="15.75" customHeight="1" x14ac:dyDescent="0.25">
      <c r="AF771" s="6"/>
      <c r="AG771" s="7"/>
      <c r="AH771" s="1"/>
      <c r="AI771" s="1"/>
    </row>
    <row r="772" spans="32:35" ht="15.75" customHeight="1" x14ac:dyDescent="0.25">
      <c r="AF772" s="6"/>
      <c r="AG772" s="7"/>
      <c r="AH772" s="1"/>
      <c r="AI772" s="1"/>
    </row>
    <row r="773" spans="32:35" ht="15.75" customHeight="1" x14ac:dyDescent="0.25">
      <c r="AF773" s="6"/>
      <c r="AG773" s="7"/>
      <c r="AH773" s="1"/>
      <c r="AI773" s="1"/>
    </row>
    <row r="774" spans="32:35" ht="15.75" customHeight="1" x14ac:dyDescent="0.25">
      <c r="AF774" s="6"/>
      <c r="AG774" s="7"/>
      <c r="AH774" s="1"/>
      <c r="AI774" s="1"/>
    </row>
    <row r="775" spans="32:35" ht="15.75" customHeight="1" x14ac:dyDescent="0.25">
      <c r="AF775" s="6"/>
      <c r="AG775" s="7"/>
      <c r="AH775" s="1"/>
      <c r="AI775" s="1"/>
    </row>
    <row r="776" spans="32:35" ht="15.75" customHeight="1" x14ac:dyDescent="0.25">
      <c r="AF776" s="6"/>
      <c r="AG776" s="7"/>
      <c r="AH776" s="1"/>
      <c r="AI776" s="1"/>
    </row>
    <row r="777" spans="32:35" ht="15.75" customHeight="1" x14ac:dyDescent="0.25">
      <c r="AF777" s="6"/>
      <c r="AG777" s="7"/>
      <c r="AH777" s="1"/>
      <c r="AI777" s="1"/>
    </row>
    <row r="778" spans="32:35" ht="15.75" customHeight="1" x14ac:dyDescent="0.25">
      <c r="AF778" s="6"/>
      <c r="AG778" s="7"/>
      <c r="AH778" s="1"/>
      <c r="AI778" s="1"/>
    </row>
    <row r="779" spans="32:35" ht="15.75" customHeight="1" x14ac:dyDescent="0.25">
      <c r="AF779" s="6"/>
      <c r="AG779" s="7"/>
      <c r="AH779" s="1"/>
      <c r="AI779" s="1"/>
    </row>
    <row r="780" spans="32:35" ht="15.75" customHeight="1" x14ac:dyDescent="0.25">
      <c r="AF780" s="6"/>
      <c r="AG780" s="7"/>
      <c r="AH780" s="1"/>
      <c r="AI780" s="1"/>
    </row>
    <row r="781" spans="32:35" ht="15.75" customHeight="1" x14ac:dyDescent="0.25">
      <c r="AF781" s="6"/>
      <c r="AG781" s="7"/>
      <c r="AH781" s="1"/>
      <c r="AI781" s="1"/>
    </row>
    <row r="782" spans="32:35" ht="15.75" customHeight="1" x14ac:dyDescent="0.25">
      <c r="AF782" s="6"/>
      <c r="AG782" s="7"/>
      <c r="AH782" s="1"/>
      <c r="AI782" s="1"/>
    </row>
    <row r="783" spans="32:35" ht="15.75" customHeight="1" x14ac:dyDescent="0.25">
      <c r="AF783" s="6"/>
      <c r="AG783" s="7"/>
      <c r="AH783" s="1"/>
      <c r="AI783" s="1"/>
    </row>
    <row r="784" spans="32:35" ht="15.75" customHeight="1" x14ac:dyDescent="0.25">
      <c r="AF784" s="6"/>
      <c r="AG784" s="7"/>
      <c r="AH784" s="1"/>
      <c r="AI784" s="1"/>
    </row>
    <row r="785" spans="32:35" ht="15.75" customHeight="1" x14ac:dyDescent="0.25">
      <c r="AF785" s="6"/>
      <c r="AG785" s="7"/>
      <c r="AH785" s="1"/>
      <c r="AI785" s="1"/>
    </row>
    <row r="786" spans="32:35" ht="15.75" customHeight="1" x14ac:dyDescent="0.25">
      <c r="AF786" s="6"/>
      <c r="AG786" s="7"/>
      <c r="AH786" s="1"/>
      <c r="AI786" s="1"/>
    </row>
    <row r="787" spans="32:35" ht="15.75" customHeight="1" x14ac:dyDescent="0.25">
      <c r="AF787" s="6"/>
      <c r="AG787" s="7"/>
      <c r="AH787" s="1"/>
      <c r="AI787" s="1"/>
    </row>
    <row r="788" spans="32:35" ht="15.75" customHeight="1" x14ac:dyDescent="0.25">
      <c r="AF788" s="6"/>
      <c r="AG788" s="7"/>
      <c r="AH788" s="1"/>
      <c r="AI788" s="1"/>
    </row>
    <row r="789" spans="32:35" ht="15.75" customHeight="1" x14ac:dyDescent="0.25">
      <c r="AF789" s="6"/>
      <c r="AG789" s="7"/>
      <c r="AH789" s="1"/>
      <c r="AI789" s="1"/>
    </row>
    <row r="790" spans="32:35" ht="15.75" customHeight="1" x14ac:dyDescent="0.25">
      <c r="AF790" s="6"/>
      <c r="AG790" s="7"/>
      <c r="AH790" s="1"/>
      <c r="AI790" s="1"/>
    </row>
    <row r="791" spans="32:35" ht="15.75" customHeight="1" x14ac:dyDescent="0.25">
      <c r="AF791" s="6"/>
      <c r="AG791" s="7"/>
      <c r="AH791" s="1"/>
      <c r="AI791" s="1"/>
    </row>
    <row r="792" spans="32:35" ht="15.75" customHeight="1" x14ac:dyDescent="0.25">
      <c r="AF792" s="6"/>
      <c r="AG792" s="7"/>
      <c r="AH792" s="1"/>
      <c r="AI792" s="1"/>
    </row>
    <row r="793" spans="32:35" ht="15.75" customHeight="1" x14ac:dyDescent="0.25">
      <c r="AF793" s="6"/>
      <c r="AG793" s="7"/>
      <c r="AH793" s="1"/>
      <c r="AI793" s="1"/>
    </row>
    <row r="794" spans="32:35" ht="15.75" customHeight="1" x14ac:dyDescent="0.25">
      <c r="AF794" s="6"/>
      <c r="AG794" s="7"/>
      <c r="AH794" s="1"/>
      <c r="AI794" s="1"/>
    </row>
    <row r="795" spans="32:35" ht="15.75" customHeight="1" x14ac:dyDescent="0.25">
      <c r="AF795" s="6"/>
      <c r="AG795" s="7"/>
      <c r="AH795" s="1"/>
      <c r="AI795" s="1"/>
    </row>
    <row r="796" spans="32:35" ht="15.75" customHeight="1" x14ac:dyDescent="0.25">
      <c r="AF796" s="6"/>
      <c r="AG796" s="7"/>
      <c r="AH796" s="1"/>
      <c r="AI796" s="1"/>
    </row>
    <row r="797" spans="32:35" ht="15.75" customHeight="1" x14ac:dyDescent="0.25">
      <c r="AF797" s="6"/>
      <c r="AG797" s="7"/>
      <c r="AH797" s="1"/>
      <c r="AI797" s="1"/>
    </row>
    <row r="798" spans="32:35" ht="15.75" customHeight="1" x14ac:dyDescent="0.25">
      <c r="AF798" s="6"/>
      <c r="AG798" s="7"/>
      <c r="AH798" s="1"/>
      <c r="AI798" s="1"/>
    </row>
    <row r="799" spans="32:35" ht="15.75" customHeight="1" x14ac:dyDescent="0.25">
      <c r="AF799" s="6"/>
      <c r="AG799" s="7"/>
      <c r="AH799" s="1"/>
      <c r="AI799" s="1"/>
    </row>
    <row r="800" spans="32:35" ht="15.75" customHeight="1" x14ac:dyDescent="0.25">
      <c r="AF800" s="6"/>
      <c r="AG800" s="7"/>
      <c r="AH800" s="1"/>
      <c r="AI800" s="1"/>
    </row>
    <row r="801" spans="32:35" ht="15.75" customHeight="1" x14ac:dyDescent="0.25">
      <c r="AF801" s="6"/>
      <c r="AG801" s="7"/>
      <c r="AH801" s="1"/>
      <c r="AI801" s="1"/>
    </row>
    <row r="802" spans="32:35" ht="15.75" customHeight="1" x14ac:dyDescent="0.25">
      <c r="AF802" s="6"/>
      <c r="AG802" s="7"/>
      <c r="AH802" s="1"/>
      <c r="AI802" s="1"/>
    </row>
    <row r="803" spans="32:35" ht="15.75" customHeight="1" x14ac:dyDescent="0.25">
      <c r="AF803" s="6"/>
      <c r="AG803" s="7"/>
      <c r="AH803" s="1"/>
      <c r="AI803" s="1"/>
    </row>
    <row r="804" spans="32:35" ht="15.75" customHeight="1" x14ac:dyDescent="0.25">
      <c r="AF804" s="6"/>
      <c r="AG804" s="7"/>
      <c r="AH804" s="1"/>
      <c r="AI804" s="1"/>
    </row>
    <row r="805" spans="32:35" ht="15.75" customHeight="1" x14ac:dyDescent="0.25">
      <c r="AF805" s="6"/>
      <c r="AG805" s="7"/>
      <c r="AH805" s="1"/>
      <c r="AI805" s="1"/>
    </row>
    <row r="806" spans="32:35" ht="15.75" customHeight="1" x14ac:dyDescent="0.25">
      <c r="AF806" s="6"/>
      <c r="AG806" s="7"/>
      <c r="AH806" s="1"/>
      <c r="AI806" s="1"/>
    </row>
    <row r="807" spans="32:35" ht="15.75" customHeight="1" x14ac:dyDescent="0.25">
      <c r="AF807" s="6"/>
      <c r="AG807" s="7"/>
      <c r="AH807" s="1"/>
      <c r="AI807" s="1"/>
    </row>
    <row r="808" spans="32:35" ht="15.75" customHeight="1" x14ac:dyDescent="0.25">
      <c r="AF808" s="6"/>
      <c r="AG808" s="7"/>
      <c r="AH808" s="1"/>
      <c r="AI808" s="1"/>
    </row>
    <row r="809" spans="32:35" ht="15.75" customHeight="1" x14ac:dyDescent="0.25">
      <c r="AF809" s="6"/>
      <c r="AG809" s="7"/>
      <c r="AH809" s="1"/>
      <c r="AI809" s="1"/>
    </row>
    <row r="810" spans="32:35" ht="15.75" customHeight="1" x14ac:dyDescent="0.25">
      <c r="AF810" s="6"/>
      <c r="AG810" s="7"/>
      <c r="AH810" s="1"/>
      <c r="AI810" s="1"/>
    </row>
    <row r="811" spans="32:35" ht="15.75" customHeight="1" x14ac:dyDescent="0.25">
      <c r="AF811" s="6"/>
      <c r="AG811" s="7"/>
      <c r="AH811" s="1"/>
      <c r="AI811" s="1"/>
    </row>
    <row r="812" spans="32:35" ht="15.75" customHeight="1" x14ac:dyDescent="0.25">
      <c r="AF812" s="6"/>
      <c r="AG812" s="7"/>
      <c r="AH812" s="1"/>
      <c r="AI812" s="1"/>
    </row>
    <row r="813" spans="32:35" ht="15.75" customHeight="1" x14ac:dyDescent="0.25">
      <c r="AF813" s="6"/>
      <c r="AG813" s="7"/>
      <c r="AH813" s="1"/>
      <c r="AI813" s="1"/>
    </row>
    <row r="814" spans="32:35" ht="15.75" customHeight="1" x14ac:dyDescent="0.25">
      <c r="AF814" s="6"/>
      <c r="AG814" s="7"/>
      <c r="AH814" s="1"/>
      <c r="AI814" s="1"/>
    </row>
    <row r="815" spans="32:35" ht="15.75" customHeight="1" x14ac:dyDescent="0.25">
      <c r="AF815" s="6"/>
      <c r="AG815" s="7"/>
      <c r="AH815" s="1"/>
      <c r="AI815" s="1"/>
    </row>
    <row r="816" spans="32:35" ht="15.75" customHeight="1" x14ac:dyDescent="0.25">
      <c r="AF816" s="6"/>
      <c r="AG816" s="7"/>
      <c r="AH816" s="1"/>
      <c r="AI816" s="1"/>
    </row>
    <row r="817" spans="32:35" ht="15.75" customHeight="1" x14ac:dyDescent="0.25">
      <c r="AF817" s="6"/>
      <c r="AG817" s="7"/>
      <c r="AH817" s="1"/>
      <c r="AI817" s="1"/>
    </row>
    <row r="818" spans="32:35" ht="15.75" customHeight="1" x14ac:dyDescent="0.25">
      <c r="AF818" s="6"/>
      <c r="AG818" s="7"/>
      <c r="AH818" s="1"/>
      <c r="AI818" s="1"/>
    </row>
    <row r="819" spans="32:35" ht="15.75" customHeight="1" x14ac:dyDescent="0.25">
      <c r="AF819" s="6"/>
      <c r="AG819" s="7"/>
      <c r="AH819" s="1"/>
      <c r="AI819" s="1"/>
    </row>
    <row r="820" spans="32:35" ht="15.75" customHeight="1" x14ac:dyDescent="0.25">
      <c r="AF820" s="6"/>
      <c r="AG820" s="7"/>
      <c r="AH820" s="1"/>
      <c r="AI820" s="1"/>
    </row>
    <row r="821" spans="32:35" ht="15.75" customHeight="1" x14ac:dyDescent="0.25">
      <c r="AF821" s="6"/>
      <c r="AG821" s="7"/>
      <c r="AH821" s="1"/>
      <c r="AI821" s="1"/>
    </row>
    <row r="822" spans="32:35" ht="15.75" customHeight="1" x14ac:dyDescent="0.25">
      <c r="AF822" s="6"/>
      <c r="AG822" s="7"/>
      <c r="AH822" s="1"/>
      <c r="AI822" s="1"/>
    </row>
    <row r="823" spans="32:35" ht="15.75" customHeight="1" x14ac:dyDescent="0.25">
      <c r="AF823" s="6"/>
      <c r="AG823" s="7"/>
      <c r="AH823" s="1"/>
      <c r="AI823" s="1"/>
    </row>
    <row r="824" spans="32:35" ht="15.75" customHeight="1" x14ac:dyDescent="0.25">
      <c r="AF824" s="6"/>
      <c r="AG824" s="7"/>
      <c r="AH824" s="1"/>
      <c r="AI824" s="1"/>
    </row>
    <row r="825" spans="32:35" ht="15.75" customHeight="1" x14ac:dyDescent="0.25">
      <c r="AF825" s="6"/>
      <c r="AG825" s="7"/>
      <c r="AH825" s="1"/>
      <c r="AI825" s="1"/>
    </row>
    <row r="826" spans="32:35" ht="15.75" customHeight="1" x14ac:dyDescent="0.25">
      <c r="AF826" s="6"/>
      <c r="AG826" s="7"/>
      <c r="AH826" s="1"/>
      <c r="AI826" s="1"/>
    </row>
    <row r="827" spans="32:35" ht="15.75" customHeight="1" x14ac:dyDescent="0.25">
      <c r="AF827" s="6"/>
      <c r="AG827" s="7"/>
      <c r="AH827" s="1"/>
      <c r="AI827" s="1"/>
    </row>
    <row r="828" spans="32:35" ht="15.75" customHeight="1" x14ac:dyDescent="0.25">
      <c r="AF828" s="6"/>
      <c r="AG828" s="7"/>
      <c r="AH828" s="1"/>
      <c r="AI828" s="1"/>
    </row>
    <row r="829" spans="32:35" ht="15.75" customHeight="1" x14ac:dyDescent="0.25">
      <c r="AF829" s="6"/>
      <c r="AG829" s="7"/>
      <c r="AH829" s="1"/>
      <c r="AI829" s="1"/>
    </row>
    <row r="830" spans="32:35" ht="15.75" customHeight="1" x14ac:dyDescent="0.25">
      <c r="AF830" s="6"/>
      <c r="AG830" s="7"/>
      <c r="AH830" s="1"/>
      <c r="AI830" s="1"/>
    </row>
    <row r="831" spans="32:35" ht="15.75" customHeight="1" x14ac:dyDescent="0.25">
      <c r="AF831" s="6"/>
      <c r="AG831" s="7"/>
      <c r="AH831" s="1"/>
      <c r="AI831" s="1"/>
    </row>
    <row r="832" spans="32:35" ht="15.75" customHeight="1" x14ac:dyDescent="0.25">
      <c r="AF832" s="6"/>
      <c r="AG832" s="7"/>
      <c r="AH832" s="1"/>
      <c r="AI832" s="1"/>
    </row>
    <row r="833" spans="32:35" ht="15.75" customHeight="1" x14ac:dyDescent="0.25">
      <c r="AF833" s="6"/>
      <c r="AG833" s="7"/>
      <c r="AH833" s="1"/>
      <c r="AI833" s="1"/>
    </row>
    <row r="834" spans="32:35" ht="15.75" customHeight="1" x14ac:dyDescent="0.25">
      <c r="AF834" s="6"/>
      <c r="AG834" s="7"/>
      <c r="AH834" s="1"/>
      <c r="AI834" s="1"/>
    </row>
    <row r="835" spans="32:35" ht="15.75" customHeight="1" x14ac:dyDescent="0.25">
      <c r="AF835" s="6"/>
      <c r="AG835" s="7"/>
      <c r="AH835" s="1"/>
      <c r="AI835" s="1"/>
    </row>
    <row r="836" spans="32:35" ht="15.75" customHeight="1" x14ac:dyDescent="0.25">
      <c r="AF836" s="6"/>
      <c r="AG836" s="7"/>
      <c r="AH836" s="1"/>
      <c r="AI836" s="1"/>
    </row>
    <row r="837" spans="32:35" ht="15.75" customHeight="1" x14ac:dyDescent="0.25">
      <c r="AF837" s="6"/>
      <c r="AG837" s="7"/>
      <c r="AH837" s="1"/>
      <c r="AI837" s="1"/>
    </row>
    <row r="838" spans="32:35" ht="15.75" customHeight="1" x14ac:dyDescent="0.25">
      <c r="AF838" s="6"/>
      <c r="AG838" s="7"/>
      <c r="AH838" s="1"/>
      <c r="AI838" s="1"/>
    </row>
    <row r="839" spans="32:35" ht="15.75" customHeight="1" x14ac:dyDescent="0.25">
      <c r="AF839" s="6"/>
      <c r="AG839" s="7"/>
      <c r="AH839" s="1"/>
      <c r="AI839" s="1"/>
    </row>
    <row r="840" spans="32:35" ht="15.75" customHeight="1" x14ac:dyDescent="0.25">
      <c r="AF840" s="6"/>
      <c r="AG840" s="7"/>
      <c r="AH840" s="1"/>
      <c r="AI840" s="1"/>
    </row>
    <row r="841" spans="32:35" ht="15.75" customHeight="1" x14ac:dyDescent="0.25">
      <c r="AF841" s="6"/>
      <c r="AG841" s="7"/>
      <c r="AH841" s="1"/>
      <c r="AI841" s="1"/>
    </row>
    <row r="842" spans="32:35" ht="15.75" customHeight="1" x14ac:dyDescent="0.25">
      <c r="AF842" s="6"/>
      <c r="AG842" s="7"/>
      <c r="AH842" s="1"/>
      <c r="AI842" s="1"/>
    </row>
    <row r="843" spans="32:35" ht="15.75" customHeight="1" x14ac:dyDescent="0.25">
      <c r="AF843" s="6"/>
      <c r="AG843" s="7"/>
      <c r="AH843" s="1"/>
      <c r="AI843" s="1"/>
    </row>
    <row r="844" spans="32:35" ht="15.75" customHeight="1" x14ac:dyDescent="0.25">
      <c r="AF844" s="6"/>
      <c r="AG844" s="7"/>
      <c r="AH844" s="1"/>
      <c r="AI844" s="1"/>
    </row>
    <row r="845" spans="32:35" ht="15.75" customHeight="1" x14ac:dyDescent="0.25">
      <c r="AF845" s="6"/>
      <c r="AG845" s="7"/>
      <c r="AH845" s="1"/>
      <c r="AI845" s="1"/>
    </row>
    <row r="846" spans="32:35" ht="15.75" customHeight="1" x14ac:dyDescent="0.25">
      <c r="AF846" s="6"/>
      <c r="AG846" s="7"/>
      <c r="AH846" s="1"/>
      <c r="AI846" s="1"/>
    </row>
    <row r="847" spans="32:35" ht="15.75" customHeight="1" x14ac:dyDescent="0.25">
      <c r="AF847" s="6"/>
      <c r="AG847" s="7"/>
      <c r="AH847" s="1"/>
      <c r="AI847" s="1"/>
    </row>
    <row r="848" spans="32:35" ht="15.75" customHeight="1" x14ac:dyDescent="0.25">
      <c r="AF848" s="6"/>
      <c r="AG848" s="7"/>
      <c r="AH848" s="1"/>
      <c r="AI848" s="1"/>
    </row>
    <row r="849" spans="32:35" ht="15.75" customHeight="1" x14ac:dyDescent="0.25">
      <c r="AF849" s="6"/>
      <c r="AG849" s="7"/>
      <c r="AH849" s="1"/>
      <c r="AI849" s="1"/>
    </row>
    <row r="850" spans="32:35" ht="15.75" customHeight="1" x14ac:dyDescent="0.25">
      <c r="AF850" s="6"/>
      <c r="AG850" s="7"/>
      <c r="AH850" s="1"/>
      <c r="AI850" s="1"/>
    </row>
    <row r="851" spans="32:35" ht="15.75" customHeight="1" x14ac:dyDescent="0.25">
      <c r="AF851" s="6"/>
      <c r="AG851" s="7"/>
      <c r="AH851" s="1"/>
      <c r="AI851" s="1"/>
    </row>
    <row r="852" spans="32:35" ht="15.75" customHeight="1" x14ac:dyDescent="0.25">
      <c r="AF852" s="6"/>
      <c r="AG852" s="7"/>
      <c r="AH852" s="1"/>
      <c r="AI852" s="1"/>
    </row>
    <row r="853" spans="32:35" ht="15.75" customHeight="1" x14ac:dyDescent="0.25">
      <c r="AF853" s="6"/>
      <c r="AG853" s="7"/>
      <c r="AH853" s="1"/>
      <c r="AI853" s="1"/>
    </row>
    <row r="854" spans="32:35" ht="15.75" customHeight="1" x14ac:dyDescent="0.25">
      <c r="AF854" s="6"/>
      <c r="AG854" s="7"/>
      <c r="AH854" s="1"/>
      <c r="AI854" s="1"/>
    </row>
    <row r="855" spans="32:35" ht="15.75" customHeight="1" x14ac:dyDescent="0.25">
      <c r="AF855" s="6"/>
      <c r="AG855" s="7"/>
      <c r="AH855" s="1"/>
      <c r="AI855" s="1"/>
    </row>
    <row r="856" spans="32:35" ht="15.75" customHeight="1" x14ac:dyDescent="0.25">
      <c r="AF856" s="6"/>
      <c r="AG856" s="7"/>
      <c r="AH856" s="1"/>
      <c r="AI856" s="1"/>
    </row>
    <row r="857" spans="32:35" ht="15.75" customHeight="1" x14ac:dyDescent="0.25">
      <c r="AF857" s="6"/>
      <c r="AG857" s="7"/>
      <c r="AH857" s="1"/>
      <c r="AI857" s="1"/>
    </row>
    <row r="858" spans="32:35" ht="15.75" customHeight="1" x14ac:dyDescent="0.25">
      <c r="AF858" s="6"/>
      <c r="AG858" s="7"/>
      <c r="AH858" s="1"/>
      <c r="AI858" s="1"/>
    </row>
    <row r="859" spans="32:35" ht="15.75" customHeight="1" x14ac:dyDescent="0.25">
      <c r="AF859" s="6"/>
      <c r="AG859" s="7"/>
      <c r="AH859" s="1"/>
      <c r="AI859" s="1"/>
    </row>
    <row r="860" spans="32:35" ht="15.75" customHeight="1" x14ac:dyDescent="0.25">
      <c r="AF860" s="6"/>
      <c r="AG860" s="7"/>
      <c r="AH860" s="1"/>
      <c r="AI860" s="1"/>
    </row>
    <row r="861" spans="32:35" ht="15.75" customHeight="1" x14ac:dyDescent="0.25">
      <c r="AF861" s="6"/>
      <c r="AG861" s="7"/>
      <c r="AH861" s="1"/>
      <c r="AI861" s="1"/>
    </row>
    <row r="862" spans="32:35" ht="15.75" customHeight="1" x14ac:dyDescent="0.25">
      <c r="AF862" s="6"/>
      <c r="AG862" s="7"/>
      <c r="AH862" s="1"/>
      <c r="AI862" s="1"/>
    </row>
    <row r="863" spans="32:35" ht="15.75" customHeight="1" x14ac:dyDescent="0.25">
      <c r="AF863" s="6"/>
      <c r="AG863" s="7"/>
      <c r="AH863" s="1"/>
      <c r="AI863" s="1"/>
    </row>
    <row r="864" spans="32:35" ht="15.75" customHeight="1" x14ac:dyDescent="0.25">
      <c r="AF864" s="6"/>
      <c r="AG864" s="7"/>
      <c r="AH864" s="1"/>
      <c r="AI864" s="1"/>
    </row>
    <row r="865" spans="32:35" ht="15.75" customHeight="1" x14ac:dyDescent="0.25">
      <c r="AF865" s="6"/>
      <c r="AG865" s="7"/>
      <c r="AH865" s="1"/>
      <c r="AI865" s="1"/>
    </row>
    <row r="866" spans="32:35" ht="15.75" customHeight="1" x14ac:dyDescent="0.25">
      <c r="AF866" s="6"/>
      <c r="AG866" s="7"/>
      <c r="AH866" s="1"/>
      <c r="AI866" s="1"/>
    </row>
    <row r="867" spans="32:35" ht="15.75" customHeight="1" x14ac:dyDescent="0.25">
      <c r="AF867" s="6"/>
      <c r="AG867" s="7"/>
      <c r="AH867" s="1"/>
      <c r="AI867" s="1"/>
    </row>
    <row r="868" spans="32:35" ht="15.75" customHeight="1" x14ac:dyDescent="0.25">
      <c r="AF868" s="6"/>
      <c r="AG868" s="7"/>
      <c r="AH868" s="1"/>
      <c r="AI868" s="1"/>
    </row>
    <row r="869" spans="32:35" ht="15.75" customHeight="1" x14ac:dyDescent="0.25">
      <c r="AF869" s="6"/>
      <c r="AG869" s="7"/>
      <c r="AH869" s="1"/>
      <c r="AI869" s="1"/>
    </row>
    <row r="870" spans="32:35" ht="15.75" customHeight="1" x14ac:dyDescent="0.25">
      <c r="AF870" s="6"/>
      <c r="AG870" s="7"/>
      <c r="AH870" s="1"/>
      <c r="AI870" s="1"/>
    </row>
    <row r="871" spans="32:35" ht="15.75" customHeight="1" x14ac:dyDescent="0.25">
      <c r="AF871" s="6"/>
      <c r="AG871" s="7"/>
      <c r="AH871" s="1"/>
      <c r="AI871" s="1"/>
    </row>
    <row r="872" spans="32:35" ht="15.75" customHeight="1" x14ac:dyDescent="0.25">
      <c r="AF872" s="6"/>
      <c r="AG872" s="7"/>
      <c r="AH872" s="1"/>
      <c r="AI872" s="1"/>
    </row>
    <row r="873" spans="32:35" ht="15.75" customHeight="1" x14ac:dyDescent="0.25">
      <c r="AF873" s="6"/>
      <c r="AG873" s="7"/>
      <c r="AH873" s="1"/>
      <c r="AI873" s="1"/>
    </row>
    <row r="874" spans="32:35" ht="15.75" customHeight="1" x14ac:dyDescent="0.25">
      <c r="AF874" s="6"/>
      <c r="AG874" s="7"/>
      <c r="AH874" s="1"/>
      <c r="AI874" s="1"/>
    </row>
    <row r="875" spans="32:35" ht="15.75" customHeight="1" x14ac:dyDescent="0.25">
      <c r="AF875" s="6"/>
      <c r="AG875" s="7"/>
      <c r="AH875" s="1"/>
      <c r="AI875" s="1"/>
    </row>
    <row r="876" spans="32:35" ht="15.75" customHeight="1" x14ac:dyDescent="0.25">
      <c r="AF876" s="6"/>
      <c r="AG876" s="7"/>
      <c r="AH876" s="1"/>
      <c r="AI876" s="1"/>
    </row>
    <row r="877" spans="32:35" ht="15.75" customHeight="1" x14ac:dyDescent="0.25">
      <c r="AF877" s="6"/>
      <c r="AG877" s="7"/>
      <c r="AH877" s="1"/>
      <c r="AI877" s="1"/>
    </row>
    <row r="878" spans="32:35" ht="15.75" customHeight="1" x14ac:dyDescent="0.25">
      <c r="AF878" s="6"/>
      <c r="AG878" s="7"/>
      <c r="AH878" s="1"/>
      <c r="AI878" s="1"/>
    </row>
    <row r="879" spans="32:35" ht="15.75" customHeight="1" x14ac:dyDescent="0.25">
      <c r="AF879" s="6"/>
      <c r="AG879" s="7"/>
      <c r="AH879" s="1"/>
      <c r="AI879" s="1"/>
    </row>
    <row r="880" spans="32:35" ht="15.75" customHeight="1" x14ac:dyDescent="0.25">
      <c r="AF880" s="6"/>
      <c r="AG880" s="7"/>
      <c r="AH880" s="1"/>
      <c r="AI880" s="1"/>
    </row>
    <row r="881" spans="32:35" ht="15.75" customHeight="1" x14ac:dyDescent="0.25">
      <c r="AF881" s="6"/>
      <c r="AG881" s="7"/>
      <c r="AH881" s="1"/>
      <c r="AI881" s="1"/>
    </row>
    <row r="882" spans="32:35" ht="15.75" customHeight="1" x14ac:dyDescent="0.25">
      <c r="AF882" s="6"/>
      <c r="AG882" s="7"/>
      <c r="AH882" s="1"/>
      <c r="AI882" s="1"/>
    </row>
    <row r="883" spans="32:35" ht="15.75" customHeight="1" x14ac:dyDescent="0.25">
      <c r="AF883" s="6"/>
      <c r="AG883" s="7"/>
      <c r="AH883" s="1"/>
      <c r="AI883" s="1"/>
    </row>
    <row r="884" spans="32:35" ht="15.75" customHeight="1" x14ac:dyDescent="0.25">
      <c r="AF884" s="6"/>
      <c r="AG884" s="7"/>
      <c r="AH884" s="1"/>
      <c r="AI884" s="1"/>
    </row>
    <row r="885" spans="32:35" ht="15.75" customHeight="1" x14ac:dyDescent="0.25">
      <c r="AF885" s="6"/>
      <c r="AG885" s="7"/>
      <c r="AH885" s="1"/>
      <c r="AI885" s="1"/>
    </row>
    <row r="886" spans="32:35" ht="15.75" customHeight="1" x14ac:dyDescent="0.25">
      <c r="AF886" s="6"/>
      <c r="AG886" s="7"/>
      <c r="AH886" s="1"/>
      <c r="AI886" s="1"/>
    </row>
    <row r="887" spans="32:35" ht="15.75" customHeight="1" x14ac:dyDescent="0.25">
      <c r="AF887" s="6"/>
      <c r="AG887" s="7"/>
      <c r="AH887" s="1"/>
      <c r="AI887" s="1"/>
    </row>
    <row r="888" spans="32:35" ht="15.75" customHeight="1" x14ac:dyDescent="0.25">
      <c r="AF888" s="6"/>
      <c r="AG888" s="7"/>
      <c r="AH888" s="1"/>
      <c r="AI888" s="1"/>
    </row>
    <row r="889" spans="32:35" ht="15.75" customHeight="1" x14ac:dyDescent="0.25">
      <c r="AF889" s="6"/>
      <c r="AG889" s="7"/>
      <c r="AH889" s="1"/>
      <c r="AI889" s="1"/>
    </row>
    <row r="890" spans="32:35" ht="15.75" customHeight="1" x14ac:dyDescent="0.25">
      <c r="AF890" s="6"/>
      <c r="AG890" s="7"/>
      <c r="AH890" s="1"/>
      <c r="AI890" s="1"/>
    </row>
    <row r="891" spans="32:35" ht="15.75" customHeight="1" x14ac:dyDescent="0.25">
      <c r="AF891" s="6"/>
      <c r="AG891" s="7"/>
      <c r="AH891" s="1"/>
      <c r="AI891" s="1"/>
    </row>
    <row r="892" spans="32:35" ht="15.75" customHeight="1" x14ac:dyDescent="0.25">
      <c r="AF892" s="6"/>
      <c r="AG892" s="7"/>
      <c r="AH892" s="1"/>
      <c r="AI892" s="1"/>
    </row>
    <row r="893" spans="32:35" ht="15.75" customHeight="1" x14ac:dyDescent="0.25">
      <c r="AF893" s="6"/>
      <c r="AG893" s="7"/>
      <c r="AH893" s="1"/>
      <c r="AI893" s="1"/>
    </row>
    <row r="894" spans="32:35" ht="15.75" customHeight="1" x14ac:dyDescent="0.25">
      <c r="AF894" s="6"/>
      <c r="AG894" s="7"/>
      <c r="AH894" s="1"/>
      <c r="AI894" s="1"/>
    </row>
    <row r="895" spans="32:35" ht="15.75" customHeight="1" x14ac:dyDescent="0.25">
      <c r="AF895" s="6"/>
      <c r="AG895" s="7"/>
      <c r="AH895" s="1"/>
      <c r="AI895" s="1"/>
    </row>
    <row r="896" spans="32:35" ht="15.75" customHeight="1" x14ac:dyDescent="0.25">
      <c r="AF896" s="6"/>
      <c r="AG896" s="7"/>
      <c r="AH896" s="1"/>
      <c r="AI896" s="1"/>
    </row>
    <row r="897" spans="32:35" ht="15.75" customHeight="1" x14ac:dyDescent="0.25">
      <c r="AF897" s="6"/>
      <c r="AG897" s="7"/>
      <c r="AH897" s="1"/>
      <c r="AI897" s="1"/>
    </row>
    <row r="898" spans="32:35" ht="15.75" customHeight="1" x14ac:dyDescent="0.25">
      <c r="AF898" s="6"/>
      <c r="AG898" s="7"/>
      <c r="AH898" s="1"/>
      <c r="AI898" s="1"/>
    </row>
    <row r="899" spans="32:35" ht="15.75" customHeight="1" x14ac:dyDescent="0.25">
      <c r="AF899" s="6"/>
      <c r="AG899" s="7"/>
      <c r="AH899" s="1"/>
      <c r="AI899" s="1"/>
    </row>
    <row r="900" spans="32:35" ht="15.75" customHeight="1" x14ac:dyDescent="0.25">
      <c r="AF900" s="6"/>
      <c r="AG900" s="7"/>
      <c r="AH900" s="1"/>
      <c r="AI900" s="1"/>
    </row>
    <row r="901" spans="32:35" ht="15.75" customHeight="1" x14ac:dyDescent="0.25">
      <c r="AF901" s="6"/>
      <c r="AG901" s="7"/>
      <c r="AH901" s="1"/>
      <c r="AI901" s="1"/>
    </row>
    <row r="902" spans="32:35" ht="15.75" customHeight="1" x14ac:dyDescent="0.25">
      <c r="AF902" s="6"/>
      <c r="AG902" s="7"/>
      <c r="AH902" s="1"/>
      <c r="AI902" s="1"/>
    </row>
    <row r="903" spans="32:35" ht="15.75" customHeight="1" x14ac:dyDescent="0.25">
      <c r="AF903" s="6"/>
      <c r="AG903" s="7"/>
      <c r="AH903" s="1"/>
      <c r="AI903" s="1"/>
    </row>
    <row r="904" spans="32:35" ht="15.75" customHeight="1" x14ac:dyDescent="0.25">
      <c r="AF904" s="6"/>
      <c r="AG904" s="7"/>
      <c r="AH904" s="1"/>
      <c r="AI904" s="1"/>
    </row>
    <row r="905" spans="32:35" ht="15.75" customHeight="1" x14ac:dyDescent="0.25">
      <c r="AF905" s="6"/>
      <c r="AG905" s="7"/>
      <c r="AH905" s="1"/>
      <c r="AI905" s="1"/>
    </row>
    <row r="906" spans="32:35" ht="15.75" customHeight="1" x14ac:dyDescent="0.25">
      <c r="AF906" s="6"/>
      <c r="AG906" s="7"/>
      <c r="AH906" s="1"/>
      <c r="AI906" s="1"/>
    </row>
    <row r="907" spans="32:35" ht="15.75" customHeight="1" x14ac:dyDescent="0.25">
      <c r="AF907" s="6"/>
      <c r="AG907" s="7"/>
      <c r="AH907" s="1"/>
      <c r="AI907" s="1"/>
    </row>
    <row r="908" spans="32:35" ht="15.75" customHeight="1" x14ac:dyDescent="0.25">
      <c r="AF908" s="6"/>
      <c r="AG908" s="7"/>
      <c r="AH908" s="1"/>
      <c r="AI908" s="1"/>
    </row>
    <row r="909" spans="32:35" ht="15.75" customHeight="1" x14ac:dyDescent="0.25">
      <c r="AF909" s="6"/>
      <c r="AG909" s="7"/>
      <c r="AH909" s="1"/>
      <c r="AI909" s="1"/>
    </row>
    <row r="910" spans="32:35" ht="15.75" customHeight="1" x14ac:dyDescent="0.25">
      <c r="AF910" s="6"/>
      <c r="AG910" s="7"/>
      <c r="AH910" s="1"/>
      <c r="AI910" s="1"/>
    </row>
    <row r="911" spans="32:35" ht="15.75" customHeight="1" x14ac:dyDescent="0.25">
      <c r="AF911" s="6"/>
      <c r="AG911" s="7"/>
      <c r="AH911" s="1"/>
      <c r="AI911" s="1"/>
    </row>
    <row r="912" spans="32:35" ht="15.75" customHeight="1" x14ac:dyDescent="0.25">
      <c r="AF912" s="6"/>
      <c r="AG912" s="7"/>
      <c r="AH912" s="1"/>
      <c r="AI912" s="1"/>
    </row>
    <row r="913" spans="32:35" ht="15.75" customHeight="1" x14ac:dyDescent="0.25">
      <c r="AF913" s="6"/>
      <c r="AG913" s="7"/>
      <c r="AH913" s="1"/>
      <c r="AI913" s="1"/>
    </row>
    <row r="914" spans="32:35" ht="15.75" customHeight="1" x14ac:dyDescent="0.25">
      <c r="AF914" s="6"/>
      <c r="AG914" s="7"/>
      <c r="AH914" s="1"/>
      <c r="AI914" s="1"/>
    </row>
    <row r="915" spans="32:35" ht="15.75" customHeight="1" x14ac:dyDescent="0.25">
      <c r="AF915" s="6"/>
      <c r="AG915" s="7"/>
      <c r="AH915" s="1"/>
      <c r="AI915" s="1"/>
    </row>
    <row r="916" spans="32:35" ht="15.75" customHeight="1" x14ac:dyDescent="0.25">
      <c r="AF916" s="6"/>
      <c r="AG916" s="7"/>
      <c r="AH916" s="1"/>
      <c r="AI916" s="1"/>
    </row>
    <row r="917" spans="32:35" ht="15.75" customHeight="1" x14ac:dyDescent="0.25">
      <c r="AF917" s="6"/>
      <c r="AG917" s="7"/>
      <c r="AH917" s="1"/>
      <c r="AI917" s="1"/>
    </row>
    <row r="918" spans="32:35" ht="15.75" customHeight="1" x14ac:dyDescent="0.25">
      <c r="AF918" s="6"/>
      <c r="AG918" s="7"/>
      <c r="AH918" s="1"/>
      <c r="AI918" s="1"/>
    </row>
    <row r="919" spans="32:35" ht="15.75" customHeight="1" x14ac:dyDescent="0.25">
      <c r="AF919" s="6"/>
      <c r="AG919" s="7"/>
      <c r="AH919" s="1"/>
      <c r="AI919" s="1"/>
    </row>
    <row r="920" spans="32:35" ht="15.75" customHeight="1" x14ac:dyDescent="0.25">
      <c r="AF920" s="6"/>
      <c r="AG920" s="7"/>
      <c r="AH920" s="1"/>
      <c r="AI920" s="1"/>
    </row>
    <row r="921" spans="32:35" ht="15.75" customHeight="1" x14ac:dyDescent="0.25">
      <c r="AF921" s="6"/>
      <c r="AG921" s="7"/>
      <c r="AH921" s="1"/>
      <c r="AI921" s="1"/>
    </row>
    <row r="922" spans="32:35" ht="15.75" customHeight="1" x14ac:dyDescent="0.25">
      <c r="AF922" s="6"/>
      <c r="AG922" s="7"/>
      <c r="AH922" s="1"/>
      <c r="AI922" s="1"/>
    </row>
    <row r="923" spans="32:35" ht="15.75" customHeight="1" x14ac:dyDescent="0.25">
      <c r="AF923" s="6"/>
      <c r="AG923" s="7"/>
      <c r="AH923" s="1"/>
      <c r="AI923" s="1"/>
    </row>
    <row r="924" spans="32:35" ht="15.75" customHeight="1" x14ac:dyDescent="0.25">
      <c r="AF924" s="6"/>
      <c r="AG924" s="7"/>
      <c r="AH924" s="1"/>
      <c r="AI924" s="1"/>
    </row>
    <row r="925" spans="32:35" ht="15.75" customHeight="1" x14ac:dyDescent="0.25">
      <c r="AF925" s="6"/>
      <c r="AG925" s="7"/>
      <c r="AH925" s="1"/>
      <c r="AI925" s="1"/>
    </row>
    <row r="926" spans="32:35" ht="15.75" customHeight="1" x14ac:dyDescent="0.25">
      <c r="AF926" s="6"/>
      <c r="AG926" s="7"/>
      <c r="AH926" s="1"/>
      <c r="AI926" s="1"/>
    </row>
    <row r="927" spans="32:35" ht="15.75" customHeight="1" x14ac:dyDescent="0.25">
      <c r="AF927" s="6"/>
      <c r="AG927" s="7"/>
      <c r="AH927" s="1"/>
      <c r="AI927" s="1"/>
    </row>
    <row r="928" spans="32:35" ht="15.75" customHeight="1" x14ac:dyDescent="0.25">
      <c r="AF928" s="6"/>
      <c r="AG928" s="7"/>
      <c r="AH928" s="1"/>
      <c r="AI928" s="1"/>
    </row>
    <row r="929" spans="32:35" ht="15.75" customHeight="1" x14ac:dyDescent="0.25">
      <c r="AF929" s="6"/>
      <c r="AG929" s="7"/>
      <c r="AH929" s="1"/>
      <c r="AI929" s="1"/>
    </row>
    <row r="930" spans="32:35" ht="15.75" customHeight="1" x14ac:dyDescent="0.25">
      <c r="AF930" s="6"/>
      <c r="AG930" s="7"/>
      <c r="AH930" s="1"/>
      <c r="AI930" s="1"/>
    </row>
    <row r="931" spans="32:35" ht="15.75" customHeight="1" x14ac:dyDescent="0.25">
      <c r="AF931" s="6"/>
      <c r="AG931" s="7"/>
      <c r="AH931" s="1"/>
      <c r="AI931" s="1"/>
    </row>
    <row r="932" spans="32:35" ht="15.75" customHeight="1" x14ac:dyDescent="0.25">
      <c r="AF932" s="6"/>
      <c r="AG932" s="7"/>
      <c r="AH932" s="1"/>
      <c r="AI932" s="1"/>
    </row>
    <row r="933" spans="32:35" ht="15.75" customHeight="1" x14ac:dyDescent="0.25">
      <c r="AF933" s="6"/>
      <c r="AG933" s="7"/>
      <c r="AH933" s="1"/>
      <c r="AI933" s="1"/>
    </row>
    <row r="934" spans="32:35" ht="15.75" customHeight="1" x14ac:dyDescent="0.25">
      <c r="AF934" s="6"/>
      <c r="AG934" s="7"/>
      <c r="AH934" s="1"/>
      <c r="AI934" s="1"/>
    </row>
    <row r="935" spans="32:35" ht="15.75" customHeight="1" x14ac:dyDescent="0.25">
      <c r="AF935" s="6"/>
      <c r="AG935" s="7"/>
      <c r="AH935" s="1"/>
      <c r="AI935" s="1"/>
    </row>
    <row r="936" spans="32:35" ht="15.75" customHeight="1" x14ac:dyDescent="0.25">
      <c r="AF936" s="6"/>
      <c r="AG936" s="7"/>
      <c r="AH936" s="1"/>
      <c r="AI936" s="1"/>
    </row>
    <row r="937" spans="32:35" ht="15.75" customHeight="1" x14ac:dyDescent="0.25">
      <c r="AF937" s="6"/>
      <c r="AG937" s="7"/>
      <c r="AH937" s="1"/>
      <c r="AI937" s="1"/>
    </row>
    <row r="938" spans="32:35" ht="15.75" customHeight="1" x14ac:dyDescent="0.25">
      <c r="AF938" s="6"/>
      <c r="AG938" s="7"/>
      <c r="AH938" s="1"/>
      <c r="AI938" s="1"/>
    </row>
    <row r="939" spans="32:35" ht="15.75" customHeight="1" x14ac:dyDescent="0.25">
      <c r="AF939" s="6"/>
      <c r="AG939" s="7"/>
      <c r="AH939" s="1"/>
      <c r="AI939" s="1"/>
    </row>
    <row r="940" spans="32:35" ht="15.75" customHeight="1" x14ac:dyDescent="0.25">
      <c r="AF940" s="6"/>
      <c r="AG940" s="7"/>
      <c r="AH940" s="1"/>
      <c r="AI940" s="1"/>
    </row>
    <row r="941" spans="32:35" ht="15.75" customHeight="1" x14ac:dyDescent="0.25">
      <c r="AF941" s="6"/>
      <c r="AG941" s="7"/>
      <c r="AH941" s="1"/>
      <c r="AI941" s="1"/>
    </row>
    <row r="942" spans="32:35" ht="15.75" customHeight="1" x14ac:dyDescent="0.25">
      <c r="AF942" s="6"/>
      <c r="AG942" s="7"/>
      <c r="AH942" s="1"/>
      <c r="AI942" s="1"/>
    </row>
    <row r="943" spans="32:35" ht="15.75" customHeight="1" x14ac:dyDescent="0.25">
      <c r="AF943" s="6"/>
      <c r="AG943" s="7"/>
      <c r="AH943" s="1"/>
      <c r="AI943" s="1"/>
    </row>
    <row r="944" spans="32:35" ht="15.75" customHeight="1" x14ac:dyDescent="0.25">
      <c r="AF944" s="6"/>
      <c r="AG944" s="7"/>
      <c r="AH944" s="1"/>
      <c r="AI944" s="1"/>
    </row>
    <row r="945" spans="32:35" ht="15.75" customHeight="1" x14ac:dyDescent="0.25">
      <c r="AF945" s="6"/>
      <c r="AG945" s="7"/>
      <c r="AH945" s="1"/>
      <c r="AI945" s="1"/>
    </row>
    <row r="946" spans="32:35" ht="15.75" customHeight="1" x14ac:dyDescent="0.25">
      <c r="AF946" s="6"/>
      <c r="AG946" s="7"/>
      <c r="AH946" s="1"/>
      <c r="AI946" s="1"/>
    </row>
    <row r="947" spans="32:35" ht="15.75" customHeight="1" x14ac:dyDescent="0.25">
      <c r="AF947" s="6"/>
      <c r="AG947" s="7"/>
      <c r="AH947" s="1"/>
      <c r="AI947" s="1"/>
    </row>
    <row r="948" spans="32:35" ht="15.75" customHeight="1" x14ac:dyDescent="0.25">
      <c r="AF948" s="6"/>
      <c r="AG948" s="7"/>
      <c r="AH948" s="1"/>
      <c r="AI948" s="1"/>
    </row>
    <row r="949" spans="32:35" ht="15.75" customHeight="1" x14ac:dyDescent="0.25">
      <c r="AF949" s="6"/>
      <c r="AG949" s="7"/>
      <c r="AH949" s="1"/>
      <c r="AI949" s="1"/>
    </row>
    <row r="950" spans="32:35" ht="15.75" customHeight="1" x14ac:dyDescent="0.25">
      <c r="AF950" s="6"/>
      <c r="AG950" s="7"/>
      <c r="AH950" s="1"/>
      <c r="AI950" s="1"/>
    </row>
    <row r="951" spans="32:35" ht="15.75" customHeight="1" x14ac:dyDescent="0.25">
      <c r="AF951" s="6"/>
      <c r="AG951" s="7"/>
      <c r="AH951" s="1"/>
      <c r="AI951" s="1"/>
    </row>
    <row r="952" spans="32:35" ht="15.75" customHeight="1" x14ac:dyDescent="0.25">
      <c r="AF952" s="6"/>
      <c r="AG952" s="7"/>
      <c r="AH952" s="1"/>
      <c r="AI952" s="1"/>
    </row>
    <row r="953" spans="32:35" ht="15.75" customHeight="1" x14ac:dyDescent="0.25">
      <c r="AF953" s="6"/>
      <c r="AG953" s="7"/>
      <c r="AH953" s="1"/>
      <c r="AI953" s="1"/>
    </row>
    <row r="954" spans="32:35" ht="15.75" customHeight="1" x14ac:dyDescent="0.25">
      <c r="AF954" s="6"/>
      <c r="AG954" s="7"/>
      <c r="AH954" s="1"/>
      <c r="AI954" s="1"/>
    </row>
    <row r="955" spans="32:35" ht="15.75" customHeight="1" x14ac:dyDescent="0.25">
      <c r="AF955" s="6"/>
      <c r="AG955" s="7"/>
      <c r="AH955" s="1"/>
      <c r="AI955" s="1"/>
    </row>
    <row r="956" spans="32:35" ht="15.75" customHeight="1" x14ac:dyDescent="0.25">
      <c r="AF956" s="6"/>
      <c r="AG956" s="7"/>
      <c r="AH956" s="1"/>
      <c r="AI956" s="1"/>
    </row>
    <row r="957" spans="32:35" ht="15.75" customHeight="1" x14ac:dyDescent="0.25">
      <c r="AF957" s="6"/>
      <c r="AG957" s="7"/>
      <c r="AH957" s="1"/>
      <c r="AI957" s="1"/>
    </row>
    <row r="958" spans="32:35" ht="15.75" customHeight="1" x14ac:dyDescent="0.25">
      <c r="AF958" s="6"/>
      <c r="AG958" s="7"/>
      <c r="AH958" s="1"/>
      <c r="AI958" s="1"/>
    </row>
    <row r="959" spans="32:35" ht="15.75" customHeight="1" x14ac:dyDescent="0.25">
      <c r="AF959" s="6"/>
      <c r="AG959" s="7"/>
      <c r="AH959" s="1"/>
      <c r="AI959" s="1"/>
    </row>
    <row r="960" spans="32:35" ht="15.75" customHeight="1" x14ac:dyDescent="0.25">
      <c r="AF960" s="6"/>
      <c r="AG960" s="7"/>
      <c r="AH960" s="1"/>
      <c r="AI960" s="1"/>
    </row>
    <row r="961" spans="32:35" ht="15.75" customHeight="1" x14ac:dyDescent="0.25">
      <c r="AF961" s="6"/>
      <c r="AG961" s="7"/>
      <c r="AH961" s="1"/>
      <c r="AI961" s="1"/>
    </row>
    <row r="962" spans="32:35" ht="15.75" customHeight="1" x14ac:dyDescent="0.25">
      <c r="AF962" s="6"/>
      <c r="AG962" s="7"/>
      <c r="AH962" s="1"/>
      <c r="AI962" s="1"/>
    </row>
    <row r="963" spans="32:35" ht="15.75" customHeight="1" x14ac:dyDescent="0.25">
      <c r="AF963" s="6"/>
      <c r="AG963" s="7"/>
      <c r="AH963" s="1"/>
      <c r="AI963" s="1"/>
    </row>
    <row r="964" spans="32:35" ht="15.75" customHeight="1" x14ac:dyDescent="0.25">
      <c r="AF964" s="6"/>
      <c r="AG964" s="7"/>
      <c r="AH964" s="1"/>
      <c r="AI964" s="1"/>
    </row>
    <row r="965" spans="32:35" ht="15.75" customHeight="1" x14ac:dyDescent="0.25">
      <c r="AF965" s="6"/>
      <c r="AG965" s="7"/>
      <c r="AH965" s="1"/>
      <c r="AI965" s="1"/>
    </row>
    <row r="966" spans="32:35" ht="15.75" customHeight="1" x14ac:dyDescent="0.25">
      <c r="AF966" s="6"/>
      <c r="AG966" s="7"/>
      <c r="AH966" s="1"/>
      <c r="AI966" s="1"/>
    </row>
    <row r="967" spans="32:35" ht="15.75" customHeight="1" x14ac:dyDescent="0.25">
      <c r="AF967" s="6"/>
      <c r="AG967" s="7"/>
      <c r="AH967" s="1"/>
      <c r="AI967" s="1"/>
    </row>
    <row r="968" spans="32:35" ht="15.75" customHeight="1" x14ac:dyDescent="0.25">
      <c r="AF968" s="6"/>
      <c r="AG968" s="7"/>
      <c r="AH968" s="1"/>
      <c r="AI968" s="1"/>
    </row>
    <row r="969" spans="32:35" ht="15.75" customHeight="1" x14ac:dyDescent="0.25">
      <c r="AF969" s="6"/>
      <c r="AG969" s="7"/>
      <c r="AH969" s="1"/>
      <c r="AI969" s="1"/>
    </row>
    <row r="970" spans="32:35" ht="15.75" customHeight="1" x14ac:dyDescent="0.25">
      <c r="AF970" s="6"/>
      <c r="AG970" s="7"/>
      <c r="AH970" s="1"/>
      <c r="AI970" s="1"/>
    </row>
    <row r="971" spans="32:35" ht="15.75" customHeight="1" x14ac:dyDescent="0.25">
      <c r="AF971" s="6"/>
      <c r="AG971" s="7"/>
      <c r="AH971" s="1"/>
      <c r="AI971" s="1"/>
    </row>
    <row r="972" spans="32:35" ht="15.75" customHeight="1" x14ac:dyDescent="0.25">
      <c r="AF972" s="6"/>
      <c r="AG972" s="7"/>
      <c r="AH972" s="1"/>
      <c r="AI972" s="1"/>
    </row>
    <row r="973" spans="32:35" ht="15.75" customHeight="1" x14ac:dyDescent="0.25">
      <c r="AF973" s="6"/>
      <c r="AG973" s="7"/>
      <c r="AH973" s="1"/>
      <c r="AI973" s="1"/>
    </row>
    <row r="974" spans="32:35" ht="15.75" customHeight="1" x14ac:dyDescent="0.25">
      <c r="AF974" s="6"/>
      <c r="AG974" s="7"/>
      <c r="AH974" s="1"/>
      <c r="AI974" s="1"/>
    </row>
    <row r="975" spans="32:35" ht="15.75" customHeight="1" x14ac:dyDescent="0.25">
      <c r="AF975" s="6"/>
      <c r="AG975" s="7"/>
      <c r="AH975" s="1"/>
      <c r="AI975" s="1"/>
    </row>
    <row r="976" spans="32:35" ht="15.75" customHeight="1" x14ac:dyDescent="0.25">
      <c r="AF976" s="6"/>
      <c r="AG976" s="7"/>
      <c r="AH976" s="1"/>
      <c r="AI976" s="1"/>
    </row>
    <row r="977" spans="32:35" ht="15.75" customHeight="1" x14ac:dyDescent="0.25">
      <c r="AF977" s="6"/>
      <c r="AG977" s="7"/>
      <c r="AH977" s="1"/>
      <c r="AI977" s="1"/>
    </row>
    <row r="978" spans="32:35" ht="15.75" customHeight="1" x14ac:dyDescent="0.25">
      <c r="AF978" s="6"/>
      <c r="AG978" s="7"/>
      <c r="AH978" s="1"/>
      <c r="AI978" s="1"/>
    </row>
    <row r="979" spans="32:35" ht="15.75" customHeight="1" x14ac:dyDescent="0.25">
      <c r="AF979" s="6"/>
      <c r="AG979" s="7"/>
      <c r="AH979" s="1"/>
      <c r="AI979" s="1"/>
    </row>
    <row r="980" spans="32:35" ht="15.75" customHeight="1" x14ac:dyDescent="0.25">
      <c r="AF980" s="6"/>
      <c r="AG980" s="7"/>
      <c r="AH980" s="1"/>
      <c r="AI980" s="1"/>
    </row>
    <row r="981" spans="32:35" ht="15.75" customHeight="1" x14ac:dyDescent="0.25">
      <c r="AF981" s="6"/>
      <c r="AG981" s="7"/>
      <c r="AH981" s="1"/>
      <c r="AI981" s="1"/>
    </row>
    <row r="982" spans="32:35" ht="15.75" customHeight="1" x14ac:dyDescent="0.25">
      <c r="AF982" s="6"/>
      <c r="AG982" s="7"/>
      <c r="AH982" s="1"/>
      <c r="AI982" s="1"/>
    </row>
    <row r="983" spans="32:35" ht="15.75" customHeight="1" x14ac:dyDescent="0.25">
      <c r="AF983" s="6"/>
      <c r="AG983" s="7"/>
      <c r="AH983" s="1"/>
      <c r="AI983" s="1"/>
    </row>
    <row r="984" spans="32:35" ht="15.75" customHeight="1" x14ac:dyDescent="0.25">
      <c r="AF984" s="6"/>
      <c r="AG984" s="7"/>
      <c r="AH984" s="1"/>
      <c r="AI984" s="1"/>
    </row>
    <row r="985" spans="32:35" ht="15.75" customHeight="1" x14ac:dyDescent="0.25">
      <c r="AF985" s="6"/>
      <c r="AG985" s="7"/>
      <c r="AH985" s="1"/>
      <c r="AI985" s="1"/>
    </row>
    <row r="986" spans="32:35" ht="15.75" customHeight="1" x14ac:dyDescent="0.25">
      <c r="AF986" s="6"/>
      <c r="AG986" s="7"/>
      <c r="AH986" s="1"/>
      <c r="AI986" s="1"/>
    </row>
    <row r="987" spans="32:35" ht="15.75" customHeight="1" x14ac:dyDescent="0.25">
      <c r="AF987" s="6"/>
      <c r="AG987" s="7"/>
      <c r="AH987" s="1"/>
      <c r="AI987" s="1"/>
    </row>
    <row r="988" spans="32:35" ht="15.75" customHeight="1" x14ac:dyDescent="0.25">
      <c r="AF988" s="6"/>
      <c r="AG988" s="7"/>
      <c r="AH988" s="1"/>
      <c r="AI988" s="1"/>
    </row>
    <row r="989" spans="32:35" ht="15.75" customHeight="1" x14ac:dyDescent="0.25">
      <c r="AF989" s="6"/>
      <c r="AG989" s="7"/>
      <c r="AH989" s="1"/>
      <c r="AI989" s="1"/>
    </row>
    <row r="990" spans="32:35" ht="15.75" customHeight="1" x14ac:dyDescent="0.25">
      <c r="AF990" s="6"/>
      <c r="AG990" s="7"/>
      <c r="AH990" s="1"/>
      <c r="AI990" s="1"/>
    </row>
    <row r="991" spans="32:35" ht="15.75" customHeight="1" x14ac:dyDescent="0.25">
      <c r="AF991" s="6"/>
      <c r="AG991" s="7"/>
      <c r="AH991" s="1"/>
      <c r="AI991" s="1"/>
    </row>
    <row r="992" spans="32:35" ht="15.75" customHeight="1" x14ac:dyDescent="0.25">
      <c r="AF992" s="6"/>
      <c r="AG992" s="7"/>
      <c r="AH992" s="1"/>
      <c r="AI992" s="1"/>
    </row>
    <row r="993" spans="32:35" ht="15.75" customHeight="1" x14ac:dyDescent="0.25">
      <c r="AF993" s="6"/>
      <c r="AG993" s="7"/>
      <c r="AH993" s="1"/>
      <c r="AI993" s="1"/>
    </row>
    <row r="994" spans="32:35" ht="15.75" customHeight="1" x14ac:dyDescent="0.25">
      <c r="AF994" s="6"/>
      <c r="AG994" s="7"/>
      <c r="AH994" s="1"/>
      <c r="AI994" s="1"/>
    </row>
    <row r="995" spans="32:35" ht="15.75" customHeight="1" x14ac:dyDescent="0.25">
      <c r="AF995" s="6"/>
      <c r="AG995" s="7"/>
      <c r="AH995" s="1"/>
      <c r="AI995" s="1"/>
    </row>
    <row r="996" spans="32:35" ht="15.75" customHeight="1" x14ac:dyDescent="0.25">
      <c r="AF996" s="6"/>
      <c r="AG996" s="7"/>
      <c r="AH996" s="1"/>
      <c r="AI996" s="1"/>
    </row>
    <row r="997" spans="32:35" ht="15.75" customHeight="1" x14ac:dyDescent="0.25">
      <c r="AF997" s="6"/>
      <c r="AG997" s="7"/>
      <c r="AH997" s="1"/>
      <c r="AI997" s="1"/>
    </row>
    <row r="998" spans="32:35" ht="15.75" customHeight="1" x14ac:dyDescent="0.25">
      <c r="AF998" s="6"/>
      <c r="AG998" s="7"/>
      <c r="AH998" s="1"/>
      <c r="AI998" s="1"/>
    </row>
    <row r="999" spans="32:35" ht="15.75" customHeight="1" x14ac:dyDescent="0.25">
      <c r="AF999" s="6"/>
      <c r="AG999" s="7"/>
      <c r="AH999" s="1"/>
      <c r="AI999" s="1"/>
    </row>
    <row r="1000" spans="32:35" ht="15.75" customHeight="1" x14ac:dyDescent="0.25">
      <c r="AF1000" s="6"/>
      <c r="AG1000" s="7"/>
      <c r="AH1000" s="1"/>
      <c r="AI1000" s="1"/>
    </row>
  </sheetData>
  <mergeCells count="5">
    <mergeCell ref="AO1:AZ1"/>
    <mergeCell ref="BA1:BL1"/>
    <mergeCell ref="BM1:BX1"/>
    <mergeCell ref="BY1:BZ1"/>
    <mergeCell ref="CJ1:CL1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N1000"/>
  <sheetViews>
    <sheetView topLeftCell="B1" workbookViewId="0">
      <selection activeCell="B1" sqref="B1:B1048576"/>
    </sheetView>
  </sheetViews>
  <sheetFormatPr defaultColWidth="12.625" defaultRowHeight="15" customHeight="1" x14ac:dyDescent="0.2"/>
  <cols>
    <col min="1" max="1" width="29" hidden="1" customWidth="1"/>
    <col min="2" max="3" width="8" customWidth="1"/>
    <col min="4" max="4" width="45.625" customWidth="1"/>
    <col min="5" max="7" width="14.25" customWidth="1"/>
    <col min="8" max="16" width="14.25" hidden="1" customWidth="1"/>
    <col min="17" max="17" width="14.25" customWidth="1"/>
    <col min="18" max="19" width="17.75" customWidth="1"/>
    <col min="20" max="20" width="17.75" hidden="1" customWidth="1"/>
    <col min="21" max="22" width="15.25" hidden="1" customWidth="1"/>
    <col min="23" max="47" width="13.25" hidden="1" customWidth="1"/>
    <col min="48" max="48" width="13.625" hidden="1" customWidth="1"/>
    <col min="49" max="49" width="13.25" hidden="1" customWidth="1"/>
    <col min="50" max="50" width="13.375" hidden="1" customWidth="1"/>
    <col min="51" max="57" width="13.25" hidden="1" customWidth="1"/>
    <col min="58" max="59" width="12.875" hidden="1" customWidth="1"/>
    <col min="60" max="60" width="14.25" hidden="1" customWidth="1"/>
    <col min="61" max="62" width="12.875" hidden="1" customWidth="1"/>
    <col min="63" max="64" width="15.5" hidden="1" customWidth="1"/>
    <col min="65" max="70" width="13.75" hidden="1" customWidth="1"/>
    <col min="71" max="71" width="13" hidden="1" customWidth="1"/>
    <col min="72" max="73" width="13.25" hidden="1" customWidth="1"/>
    <col min="74" max="74" width="12" hidden="1" customWidth="1"/>
    <col min="75" max="75" width="9.5" hidden="1" customWidth="1"/>
    <col min="76" max="77" width="12.875" hidden="1" customWidth="1"/>
    <col min="78" max="78" width="10.5" hidden="1" customWidth="1"/>
    <col min="79" max="83" width="11.875" hidden="1" customWidth="1"/>
    <col min="84" max="84" width="12.5" hidden="1" customWidth="1"/>
    <col min="85" max="87" width="9.75" hidden="1" customWidth="1"/>
    <col min="88" max="89" width="7.75" customWidth="1"/>
    <col min="90" max="92" width="8" customWidth="1"/>
  </cols>
  <sheetData>
    <row r="1" spans="1:92" x14ac:dyDescent="0.25">
      <c r="A1" s="1" t="s">
        <v>0</v>
      </c>
      <c r="B1" s="1" t="s">
        <v>1</v>
      </c>
      <c r="E1" s="2"/>
      <c r="F1" s="2">
        <v>2021</v>
      </c>
      <c r="J1" s="2"/>
      <c r="N1" s="29"/>
      <c r="P1" s="64"/>
      <c r="Q1" s="21"/>
      <c r="R1" s="13">
        <v>2020</v>
      </c>
      <c r="V1" s="3"/>
      <c r="W1" s="1"/>
      <c r="Z1" s="85"/>
      <c r="AB1" s="30"/>
      <c r="AC1" s="99">
        <v>2019</v>
      </c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0">
        <v>2018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8"/>
      <c r="BA1" s="102">
        <v>2017</v>
      </c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8"/>
      <c r="BM1" s="105"/>
      <c r="BN1" s="109"/>
      <c r="BO1" s="31"/>
      <c r="BP1" s="31"/>
      <c r="BQ1" s="31"/>
      <c r="BR1" s="31"/>
      <c r="BS1" s="31"/>
      <c r="BT1" s="86"/>
      <c r="BU1" s="87"/>
      <c r="BV1" s="87"/>
      <c r="BW1" s="87"/>
      <c r="BX1" s="104">
        <v>2015</v>
      </c>
      <c r="BY1" s="109"/>
      <c r="BZ1" s="110"/>
      <c r="CA1" s="86"/>
      <c r="CB1" s="32"/>
      <c r="CC1" s="87"/>
      <c r="CD1" s="87"/>
      <c r="CE1" s="86"/>
      <c r="CF1" s="86"/>
      <c r="CG1" s="86"/>
      <c r="CH1" s="86"/>
      <c r="CI1" s="87"/>
    </row>
    <row r="2" spans="1:92" x14ac:dyDescent="0.25">
      <c r="E2" s="4" t="s">
        <v>10</v>
      </c>
      <c r="F2" s="4" t="s">
        <v>11</v>
      </c>
      <c r="G2" s="4" t="s">
        <v>12</v>
      </c>
      <c r="H2" s="4" t="s">
        <v>13</v>
      </c>
      <c r="I2" s="4" t="s">
        <v>2</v>
      </c>
      <c r="J2" s="4" t="s">
        <v>14</v>
      </c>
      <c r="K2" s="5" t="s">
        <v>15</v>
      </c>
      <c r="L2" s="5" t="s">
        <v>5</v>
      </c>
      <c r="M2" s="5" t="s">
        <v>16</v>
      </c>
      <c r="N2" s="33" t="s">
        <v>17</v>
      </c>
      <c r="O2" s="5" t="s">
        <v>18</v>
      </c>
      <c r="P2" s="5" t="s">
        <v>19</v>
      </c>
      <c r="Q2" s="20" t="s">
        <v>20</v>
      </c>
      <c r="R2" s="5" t="s">
        <v>21</v>
      </c>
      <c r="S2" s="5" t="s">
        <v>22</v>
      </c>
      <c r="T2" s="4" t="s">
        <v>23</v>
      </c>
      <c r="U2" s="4" t="s">
        <v>24</v>
      </c>
      <c r="V2" s="5" t="s">
        <v>14</v>
      </c>
      <c r="W2" s="5" t="s">
        <v>15</v>
      </c>
      <c r="X2" s="5" t="s">
        <v>5</v>
      </c>
      <c r="Y2" s="34" t="s">
        <v>16</v>
      </c>
      <c r="Z2" s="5" t="s">
        <v>17</v>
      </c>
      <c r="AA2" s="5" t="s">
        <v>18</v>
      </c>
      <c r="AB2" s="5" t="s">
        <v>19</v>
      </c>
      <c r="AC2" s="5" t="s">
        <v>20</v>
      </c>
      <c r="AD2" s="5" t="s">
        <v>21</v>
      </c>
      <c r="AE2" s="5" t="s">
        <v>22</v>
      </c>
      <c r="AF2" s="5" t="s">
        <v>23</v>
      </c>
      <c r="AG2" s="5" t="s">
        <v>24</v>
      </c>
      <c r="AH2" s="5" t="s">
        <v>14</v>
      </c>
      <c r="AI2" s="5" t="s">
        <v>15</v>
      </c>
      <c r="AJ2" s="5" t="s">
        <v>5</v>
      </c>
      <c r="AK2" s="5" t="s">
        <v>16</v>
      </c>
      <c r="AL2" s="5" t="s">
        <v>17</v>
      </c>
      <c r="AM2" s="5" t="s">
        <v>18</v>
      </c>
      <c r="AN2" s="5" t="s">
        <v>19</v>
      </c>
      <c r="AO2" s="5" t="s">
        <v>20</v>
      </c>
      <c r="AP2" s="5" t="s">
        <v>21</v>
      </c>
      <c r="AQ2" s="5" t="s">
        <v>22</v>
      </c>
      <c r="AR2" s="5" t="s">
        <v>23</v>
      </c>
      <c r="AS2" s="5" t="s">
        <v>24</v>
      </c>
      <c r="AT2" s="5" t="s">
        <v>14</v>
      </c>
      <c r="AU2" s="5" t="s">
        <v>15</v>
      </c>
      <c r="AV2" s="5" t="s">
        <v>5</v>
      </c>
      <c r="AW2" s="5" t="s">
        <v>16</v>
      </c>
      <c r="AX2" s="5" t="s">
        <v>17</v>
      </c>
      <c r="AY2" s="5" t="s">
        <v>18</v>
      </c>
      <c r="AZ2" s="5" t="s">
        <v>19</v>
      </c>
      <c r="BA2" s="35" t="s">
        <v>20</v>
      </c>
      <c r="BB2" s="35" t="s">
        <v>21</v>
      </c>
      <c r="BC2" s="35" t="s">
        <v>22</v>
      </c>
      <c r="BD2" s="35" t="s">
        <v>23</v>
      </c>
      <c r="BE2" s="35" t="s">
        <v>24</v>
      </c>
      <c r="BF2" s="35" t="s">
        <v>14</v>
      </c>
      <c r="BG2" s="35" t="s">
        <v>15</v>
      </c>
      <c r="BH2" s="35" t="s">
        <v>5</v>
      </c>
      <c r="BI2" s="35" t="s">
        <v>16</v>
      </c>
      <c r="BJ2" s="35" t="s">
        <v>17</v>
      </c>
      <c r="BK2" s="35" t="s">
        <v>18</v>
      </c>
      <c r="BL2" s="35" t="s">
        <v>19</v>
      </c>
      <c r="BM2" s="35" t="s">
        <v>21</v>
      </c>
      <c r="BN2" s="35" t="s">
        <v>22</v>
      </c>
      <c r="BO2" s="35" t="s">
        <v>23</v>
      </c>
      <c r="BP2" s="35" t="s">
        <v>24</v>
      </c>
      <c r="BQ2" s="35" t="s">
        <v>14</v>
      </c>
      <c r="BR2" s="35" t="s">
        <v>15</v>
      </c>
      <c r="BS2" s="35" t="s">
        <v>5</v>
      </c>
      <c r="BT2" s="35" t="s">
        <v>16</v>
      </c>
      <c r="BU2" s="35" t="s">
        <v>17</v>
      </c>
      <c r="BV2" s="35" t="s">
        <v>18</v>
      </c>
      <c r="BW2" s="35" t="s">
        <v>19</v>
      </c>
      <c r="BX2" s="35" t="s">
        <v>20</v>
      </c>
      <c r="BY2" s="35" t="s">
        <v>21</v>
      </c>
      <c r="BZ2" s="35" t="s">
        <v>22</v>
      </c>
      <c r="CA2" s="35" t="s">
        <v>23</v>
      </c>
      <c r="CB2" s="35" t="s">
        <v>24</v>
      </c>
      <c r="CC2" s="35" t="s">
        <v>14</v>
      </c>
      <c r="CD2" s="35" t="s">
        <v>15</v>
      </c>
      <c r="CE2" s="35" t="s">
        <v>5</v>
      </c>
      <c r="CF2" s="35" t="s">
        <v>16</v>
      </c>
      <c r="CG2" s="35" t="s">
        <v>17</v>
      </c>
      <c r="CH2" s="35" t="s">
        <v>18</v>
      </c>
      <c r="CI2" s="35" t="s">
        <v>19</v>
      </c>
    </row>
    <row r="3" spans="1:92" x14ac:dyDescent="0.25">
      <c r="A3" s="36" t="s">
        <v>25</v>
      </c>
      <c r="D3" s="1" t="s">
        <v>26</v>
      </c>
      <c r="E3" s="1">
        <f>336+17</f>
        <v>353</v>
      </c>
      <c r="F3" s="1">
        <f>333+17</f>
        <v>350</v>
      </c>
      <c r="G3" s="1">
        <f>338+17</f>
        <v>355</v>
      </c>
      <c r="H3" s="1">
        <f>337+17</f>
        <v>354</v>
      </c>
      <c r="I3" s="1">
        <f>327+17</f>
        <v>344</v>
      </c>
      <c r="J3" s="1">
        <f>330+17</f>
        <v>347</v>
      </c>
      <c r="K3" s="1">
        <f>332+17</f>
        <v>349</v>
      </c>
      <c r="L3" s="1">
        <f>330+17</f>
        <v>347</v>
      </c>
      <c r="M3" s="1">
        <f>335+17</f>
        <v>352</v>
      </c>
      <c r="N3" s="29">
        <f>330+17</f>
        <v>347</v>
      </c>
      <c r="O3" s="1">
        <f>322+17</f>
        <v>339</v>
      </c>
      <c r="P3" s="15">
        <f>317+17</f>
        <v>334</v>
      </c>
      <c r="Q3" s="21">
        <f>329+17</f>
        <v>346</v>
      </c>
      <c r="R3" s="15">
        <f>320+17</f>
        <v>337</v>
      </c>
      <c r="S3" s="15">
        <f>323+17</f>
        <v>340</v>
      </c>
      <c r="T3" s="15">
        <f>319+17</f>
        <v>336</v>
      </c>
      <c r="U3" s="1">
        <f>325+17</f>
        <v>342</v>
      </c>
      <c r="V3" s="1">
        <v>334</v>
      </c>
      <c r="W3" s="1">
        <v>323</v>
      </c>
      <c r="X3" s="1">
        <v>328</v>
      </c>
      <c r="Y3" s="37">
        <v>326</v>
      </c>
      <c r="Z3" s="1">
        <v>328</v>
      </c>
      <c r="AA3" s="1">
        <v>332</v>
      </c>
      <c r="AB3" s="1">
        <v>349</v>
      </c>
      <c r="AC3" s="1">
        <v>360</v>
      </c>
      <c r="AD3" s="1">
        <v>360</v>
      </c>
      <c r="AE3" s="1">
        <v>363</v>
      </c>
      <c r="AF3" s="1">
        <v>371</v>
      </c>
      <c r="AG3" s="1">
        <v>378</v>
      </c>
      <c r="AH3" s="1">
        <v>374</v>
      </c>
      <c r="AI3" s="1">
        <v>375</v>
      </c>
      <c r="AJ3" s="1">
        <v>376</v>
      </c>
      <c r="AK3" s="1">
        <v>383</v>
      </c>
      <c r="AL3" s="1">
        <v>387</v>
      </c>
      <c r="AM3" s="1">
        <v>386</v>
      </c>
      <c r="AN3" s="1">
        <v>392</v>
      </c>
      <c r="AO3" s="1">
        <v>405</v>
      </c>
      <c r="AP3" s="1">
        <v>407</v>
      </c>
      <c r="AQ3" s="1">
        <v>399</v>
      </c>
      <c r="AR3" s="1">
        <v>396</v>
      </c>
      <c r="AS3" s="1">
        <v>396</v>
      </c>
      <c r="AT3" s="1">
        <v>397</v>
      </c>
      <c r="AU3" s="1">
        <v>400</v>
      </c>
      <c r="AV3" s="1">
        <v>395</v>
      </c>
      <c r="AW3" s="1">
        <v>387</v>
      </c>
      <c r="AX3" s="1">
        <v>385</v>
      </c>
      <c r="AY3" s="1">
        <v>392</v>
      </c>
      <c r="AZ3" s="1">
        <v>397</v>
      </c>
      <c r="BA3" s="1">
        <v>418</v>
      </c>
      <c r="BB3" s="1">
        <v>417</v>
      </c>
      <c r="BC3" s="1">
        <v>421</v>
      </c>
      <c r="BD3" s="1">
        <f>412+14</f>
        <v>426</v>
      </c>
      <c r="BE3" s="1">
        <v>417</v>
      </c>
      <c r="BF3" s="1">
        <v>424</v>
      </c>
      <c r="BG3" s="1">
        <v>424</v>
      </c>
      <c r="BH3" s="1">
        <v>420</v>
      </c>
      <c r="BI3" s="1">
        <v>420</v>
      </c>
      <c r="BJ3" s="1">
        <v>423</v>
      </c>
      <c r="BK3" s="1">
        <f>404+13</f>
        <v>417</v>
      </c>
      <c r="BL3" s="1">
        <v>421</v>
      </c>
      <c r="BM3" s="1">
        <v>451</v>
      </c>
      <c r="BN3" s="1">
        <f>433+13</f>
        <v>446</v>
      </c>
      <c r="BO3" s="1">
        <f>428+13</f>
        <v>441</v>
      </c>
      <c r="BP3" s="1">
        <v>439</v>
      </c>
      <c r="BQ3" s="1">
        <v>431</v>
      </c>
      <c r="BR3" s="1">
        <v>440</v>
      </c>
      <c r="BS3" s="1">
        <v>445</v>
      </c>
      <c r="BT3" s="1">
        <v>441</v>
      </c>
      <c r="BU3" s="1">
        <v>444</v>
      </c>
      <c r="BV3" s="1">
        <v>441</v>
      </c>
      <c r="BW3" s="1">
        <v>449</v>
      </c>
      <c r="BX3" s="1">
        <v>440</v>
      </c>
      <c r="BY3" s="1">
        <v>438</v>
      </c>
      <c r="BZ3" s="1">
        <v>437</v>
      </c>
      <c r="CA3" s="1">
        <v>435</v>
      </c>
      <c r="CB3" s="1">
        <v>433</v>
      </c>
      <c r="CC3" s="1">
        <v>432</v>
      </c>
      <c r="CD3" s="1">
        <v>430</v>
      </c>
      <c r="CE3" s="1">
        <v>428</v>
      </c>
      <c r="CF3" s="1">
        <v>430</v>
      </c>
      <c r="CG3" s="1">
        <v>426</v>
      </c>
      <c r="CH3" s="1">
        <v>428</v>
      </c>
      <c r="CI3" s="1">
        <v>439</v>
      </c>
    </row>
    <row r="4" spans="1:92" x14ac:dyDescent="0.25">
      <c r="A4" s="36" t="s">
        <v>27</v>
      </c>
      <c r="D4" s="1" t="s">
        <v>28</v>
      </c>
      <c r="E4" s="23">
        <f>AVERAGE(E3:H3)</f>
        <v>353</v>
      </c>
      <c r="F4" s="23">
        <f>AVERAGE(F3:I3)</f>
        <v>350.75</v>
      </c>
      <c r="G4" s="23">
        <f>AVERAGE(G3:J3)</f>
        <v>350</v>
      </c>
      <c r="H4" s="23">
        <f t="shared" ref="H4:M4" si="0">AVERAGE(H3:K3)</f>
        <v>348.5</v>
      </c>
      <c r="I4" s="23">
        <f t="shared" si="0"/>
        <v>346.75</v>
      </c>
      <c r="J4" s="23">
        <f t="shared" si="0"/>
        <v>348.75</v>
      </c>
      <c r="K4" s="23">
        <f t="shared" si="0"/>
        <v>348.75</v>
      </c>
      <c r="L4" s="23">
        <f t="shared" si="0"/>
        <v>346.25</v>
      </c>
      <c r="M4" s="23">
        <f t="shared" si="0"/>
        <v>343</v>
      </c>
      <c r="N4" s="38">
        <f>AVERAGE(N3:P3)</f>
        <v>340</v>
      </c>
      <c r="O4" s="23">
        <f>AVERAGE(O3:P3)</f>
        <v>336.5</v>
      </c>
      <c r="P4" s="39">
        <f>AVERAGE(P3)</f>
        <v>334</v>
      </c>
      <c r="Q4" s="40">
        <f t="shared" ref="Q4:V4" si="1">AVERAGE(Q3:W3)</f>
        <v>336.85714285714283</v>
      </c>
      <c r="R4" s="39">
        <f t="shared" si="1"/>
        <v>334.28571428571428</v>
      </c>
      <c r="S4" s="39">
        <f t="shared" si="1"/>
        <v>332.71428571428572</v>
      </c>
      <c r="T4" s="39">
        <f t="shared" si="1"/>
        <v>331</v>
      </c>
      <c r="U4" s="39">
        <f t="shared" si="1"/>
        <v>330.42857142857144</v>
      </c>
      <c r="V4" s="23">
        <f t="shared" si="1"/>
        <v>331.42857142857144</v>
      </c>
      <c r="W4" s="23">
        <f>AVERAGE(W3:AB3)</f>
        <v>331</v>
      </c>
      <c r="X4" s="23">
        <f>AVERAGE(X3:AB3)</f>
        <v>332.6</v>
      </c>
      <c r="Y4" s="41">
        <f>AVERAGE(Y3:AB3)</f>
        <v>333.75</v>
      </c>
      <c r="Z4" s="23">
        <f>AVERAGE(Z3:AB3)</f>
        <v>336.33333333333331</v>
      </c>
      <c r="AA4" s="23">
        <f>AVERAGE(AA3:AB3)</f>
        <v>340.5</v>
      </c>
      <c r="AB4" s="23">
        <f>AVERAGE(AB3)</f>
        <v>349</v>
      </c>
      <c r="AC4" s="23">
        <f>AVERAGE(AC3:AN3)</f>
        <v>375.41666666666669</v>
      </c>
      <c r="AD4" s="23">
        <f>AVERAGE(AD3:AN3)</f>
        <v>376.81818181818181</v>
      </c>
      <c r="AE4" s="23">
        <f>AVERAGE(AE3:AN3)</f>
        <v>378.5</v>
      </c>
      <c r="AF4" s="23">
        <f>AVERAGE(AF3:AN3)</f>
        <v>380.22222222222223</v>
      </c>
      <c r="AG4" s="23">
        <f>AVERAGE(AG3:AN3)</f>
        <v>381.375</v>
      </c>
      <c r="AH4" s="23">
        <f>AVERAGE(AH3:AN3)</f>
        <v>381.85714285714283</v>
      </c>
      <c r="AI4" s="23">
        <f>AVERAGE(AI3:AN3)</f>
        <v>383.16666666666669</v>
      </c>
      <c r="AJ4" s="23">
        <f>AVERAGE(AJ3:AN3)</f>
        <v>384.8</v>
      </c>
      <c r="AK4" s="23">
        <f>AVERAGE(AK3:AN3)</f>
        <v>387</v>
      </c>
      <c r="AL4" s="23">
        <f>AVERAGE(AL3:AN3)</f>
        <v>388.33333333333331</v>
      </c>
      <c r="AM4" s="23">
        <f>AVERAGE(AM3:AN3)</f>
        <v>389</v>
      </c>
      <c r="AN4" s="23">
        <f>AVERAGE(AN3)</f>
        <v>392</v>
      </c>
      <c r="AO4" s="23">
        <f>AVERAGE(AO3:AZ3)</f>
        <v>396.33333333333331</v>
      </c>
      <c r="AP4" s="23">
        <f>AVERAGE(AP3:AZ3)</f>
        <v>395.54545454545456</v>
      </c>
      <c r="AQ4" s="23">
        <f>AVERAGE(AQ3:AZ3)</f>
        <v>394.4</v>
      </c>
      <c r="AR4" s="23">
        <f>AVERAGE(AR3:AZ3)</f>
        <v>393.88888888888891</v>
      </c>
      <c r="AS4" s="23">
        <f>AVERAGE(AS3:AZ3)</f>
        <v>393.625</v>
      </c>
      <c r="AT4" s="23">
        <f>AVERAGE(AT3:AZ3)</f>
        <v>393.28571428571428</v>
      </c>
      <c r="AU4" s="23">
        <f>AVERAGE(AU3:AZ3)</f>
        <v>392.66666666666669</v>
      </c>
      <c r="AV4" s="23">
        <f>AVERAGE(AV3:AZ3)</f>
        <v>391.2</v>
      </c>
      <c r="AW4" s="23">
        <f>AVERAGE(AW3:AZ3)</f>
        <v>390.25</v>
      </c>
      <c r="AX4" s="23">
        <f>AVERAGE(AX3:AZ3)</f>
        <v>391.33333333333331</v>
      </c>
      <c r="AY4" s="23">
        <f>AVERAGE(AY3:AZ3)</f>
        <v>394.5</v>
      </c>
      <c r="AZ4" s="23">
        <f>AVERAGE(AZ3)</f>
        <v>397</v>
      </c>
      <c r="BA4" s="23">
        <f>AVERAGE(BA3:BL3)</f>
        <v>420.66666666666669</v>
      </c>
      <c r="BB4" s="23">
        <f>AVERAGE(BB3:BL3)</f>
        <v>420.90909090909093</v>
      </c>
      <c r="BC4" s="23">
        <f>AVERAGE(BC3:BL3)</f>
        <v>421.3</v>
      </c>
      <c r="BD4" s="23">
        <f>AVERAGE(BD3:BL3)</f>
        <v>421.33333333333331</v>
      </c>
      <c r="BE4" s="23">
        <f>AVERAGE(BE3:BL3)</f>
        <v>420.75</v>
      </c>
      <c r="BF4" s="23">
        <f>AVERAGE(BF3:BL3)</f>
        <v>421.28571428571428</v>
      </c>
      <c r="BG4" s="23">
        <f>AVERAGE(BG3:BL3)</f>
        <v>420.83333333333331</v>
      </c>
      <c r="BH4" s="23">
        <f>AVERAGE(BH3:BL3)</f>
        <v>420.2</v>
      </c>
      <c r="BI4" s="23">
        <f>AVERAGE(BI3:BL3)</f>
        <v>420.25</v>
      </c>
      <c r="BJ4" s="23">
        <f>AVERAGE(BJ3:BL3)</f>
        <v>420.33333333333331</v>
      </c>
      <c r="BK4" s="23">
        <f>AVERAGE(BK3:BL3)</f>
        <v>419</v>
      </c>
      <c r="BL4" s="23">
        <f>AVERAGE(BL3)</f>
        <v>421</v>
      </c>
      <c r="BM4" s="23">
        <f>AVERAGE(BM3:BW3)</f>
        <v>442.54545454545456</v>
      </c>
      <c r="BN4" s="23">
        <f>AVERAGE(BN3:BW3)</f>
        <v>441.7</v>
      </c>
      <c r="BO4" s="23">
        <f>AVERAGE(BO3:BW3)</f>
        <v>441.22222222222223</v>
      </c>
      <c r="BP4" s="23">
        <f>AVERAGE(BP3:BW3)</f>
        <v>441.25</v>
      </c>
      <c r="BQ4" s="23">
        <f>AVERAGE(BQ3:BW3)</f>
        <v>441.57142857142856</v>
      </c>
      <c r="BR4" s="23">
        <f>AVERAGE(BR3:BW3)</f>
        <v>443.33333333333331</v>
      </c>
      <c r="BS4" s="23">
        <f>AVERAGE(BS3:BW3)</f>
        <v>444</v>
      </c>
      <c r="BT4" s="23">
        <f>AVERAGE(BT3:BW3)</f>
        <v>443.75</v>
      </c>
      <c r="BU4" s="23">
        <f>AVERAGE(BU3:BW3)</f>
        <v>444.66666666666669</v>
      </c>
      <c r="BV4" s="23">
        <f>AVERAGE(BV3:BW3)</f>
        <v>445</v>
      </c>
      <c r="BW4" s="23">
        <f>+BW3</f>
        <v>449</v>
      </c>
      <c r="BX4" s="23">
        <f>AVERAGE(BY3:CI3)</f>
        <v>432.36363636363637</v>
      </c>
      <c r="BY4" s="23">
        <f>AVERAGE(BY3:CI3)</f>
        <v>432.36363636363637</v>
      </c>
      <c r="BZ4" s="23">
        <f>AVERAGE(BZ3:CI3)</f>
        <v>431.8</v>
      </c>
      <c r="CA4" s="23">
        <f>AVERAGE(CA3:CI3)</f>
        <v>431.22222222222223</v>
      </c>
      <c r="CB4" s="23">
        <f>AVERAGE(CB3:CI3)</f>
        <v>430.75</v>
      </c>
      <c r="CC4" s="23">
        <f>AVERAGE(CC3:CI3)</f>
        <v>430.42857142857144</v>
      </c>
      <c r="CD4" s="23">
        <f>AVERAGE(CD3:CI3)</f>
        <v>430.16666666666669</v>
      </c>
      <c r="CE4" s="23">
        <f>AVERAGE(CE3:CI3)</f>
        <v>430.2</v>
      </c>
      <c r="CF4" s="23">
        <f>AVERAGE(CF3:CI3)</f>
        <v>430.75</v>
      </c>
      <c r="CG4" s="23">
        <f t="shared" ref="CG4:CH4" si="2">AVERAGE(CG3:CH3)</f>
        <v>427</v>
      </c>
      <c r="CH4" s="23">
        <f t="shared" si="2"/>
        <v>433.5</v>
      </c>
      <c r="CI4" s="1">
        <f>+CI3</f>
        <v>439</v>
      </c>
      <c r="CK4" s="17"/>
    </row>
    <row r="5" spans="1:92" x14ac:dyDescent="0.25">
      <c r="A5" s="1" t="s">
        <v>55</v>
      </c>
      <c r="D5" s="1" t="s">
        <v>30</v>
      </c>
      <c r="E5" s="1">
        <v>382</v>
      </c>
      <c r="F5" s="1">
        <v>382</v>
      </c>
      <c r="G5" s="1">
        <v>382</v>
      </c>
      <c r="H5" s="1">
        <v>382</v>
      </c>
      <c r="I5" s="1">
        <v>382</v>
      </c>
      <c r="J5">
        <v>382</v>
      </c>
      <c r="K5" s="1">
        <v>382</v>
      </c>
      <c r="L5" s="1">
        <v>382</v>
      </c>
      <c r="M5" s="1">
        <v>382</v>
      </c>
      <c r="N5" s="29">
        <v>382</v>
      </c>
      <c r="O5" s="1">
        <v>382</v>
      </c>
      <c r="P5" s="15">
        <v>382</v>
      </c>
      <c r="Q5" s="21">
        <v>363</v>
      </c>
      <c r="R5" s="15">
        <v>363</v>
      </c>
      <c r="S5" s="15">
        <v>363</v>
      </c>
      <c r="T5" s="14">
        <v>363</v>
      </c>
      <c r="U5" s="16">
        <v>363</v>
      </c>
      <c r="V5" s="1">
        <v>363</v>
      </c>
      <c r="W5" s="1">
        <v>363</v>
      </c>
      <c r="X5" s="1">
        <v>363</v>
      </c>
      <c r="Y5" s="37">
        <v>363</v>
      </c>
      <c r="Z5" s="1">
        <v>363</v>
      </c>
      <c r="AA5" s="1">
        <v>363</v>
      </c>
      <c r="AB5" s="1">
        <v>363</v>
      </c>
      <c r="AC5" s="1">
        <v>415</v>
      </c>
      <c r="AD5" s="1">
        <v>415</v>
      </c>
      <c r="AE5" s="1">
        <v>415</v>
      </c>
      <c r="AF5" s="1">
        <v>415</v>
      </c>
      <c r="AG5" s="1">
        <v>415</v>
      </c>
      <c r="AH5" s="1">
        <v>415</v>
      </c>
      <c r="AI5" s="1">
        <v>415</v>
      </c>
      <c r="AJ5" s="1">
        <v>415</v>
      </c>
      <c r="AK5" s="1">
        <v>415</v>
      </c>
      <c r="AL5" s="1">
        <v>415</v>
      </c>
      <c r="AM5" s="1">
        <v>415</v>
      </c>
      <c r="AN5" s="1">
        <v>415</v>
      </c>
      <c r="AO5" s="1">
        <v>415</v>
      </c>
      <c r="AP5" s="1">
        <v>415</v>
      </c>
      <c r="AQ5" s="1">
        <v>415</v>
      </c>
      <c r="AR5" s="1">
        <v>415</v>
      </c>
      <c r="AS5" s="1">
        <v>415</v>
      </c>
      <c r="AT5" s="1">
        <v>415</v>
      </c>
      <c r="AU5" s="1">
        <v>415</v>
      </c>
      <c r="AV5" s="1">
        <v>415</v>
      </c>
      <c r="AW5" s="1">
        <v>415</v>
      </c>
      <c r="AX5" s="1">
        <v>415</v>
      </c>
      <c r="AY5" s="1">
        <v>415</v>
      </c>
      <c r="AZ5" s="1">
        <v>415</v>
      </c>
      <c r="BA5" s="1">
        <v>445</v>
      </c>
      <c r="BB5" s="1">
        <v>445</v>
      </c>
      <c r="BC5" s="1">
        <v>445</v>
      </c>
      <c r="BD5" s="1">
        <v>445</v>
      </c>
      <c r="BE5" s="1">
        <v>445</v>
      </c>
      <c r="BF5" s="1">
        <v>445</v>
      </c>
      <c r="BG5" s="1">
        <v>445</v>
      </c>
      <c r="BH5" s="1">
        <v>445</v>
      </c>
      <c r="BI5" s="1">
        <v>445</v>
      </c>
      <c r="BJ5" s="1">
        <v>445</v>
      </c>
      <c r="BK5" s="1">
        <v>445</v>
      </c>
      <c r="BL5" s="1">
        <v>445</v>
      </c>
      <c r="BM5" s="1">
        <v>461</v>
      </c>
      <c r="BN5" s="1">
        <v>461</v>
      </c>
      <c r="BO5" s="1">
        <v>461</v>
      </c>
      <c r="BP5" s="1">
        <v>461</v>
      </c>
      <c r="BQ5" s="1">
        <v>461</v>
      </c>
      <c r="BR5" s="1">
        <v>461</v>
      </c>
      <c r="BS5" s="1">
        <v>461</v>
      </c>
      <c r="BT5" s="1">
        <v>461</v>
      </c>
      <c r="BU5" s="1">
        <v>461</v>
      </c>
      <c r="BV5" s="1">
        <v>461</v>
      </c>
      <c r="BW5" s="1">
        <v>461</v>
      </c>
      <c r="BX5" s="1">
        <v>460</v>
      </c>
      <c r="BY5" s="1">
        <v>460</v>
      </c>
      <c r="BZ5" s="1">
        <v>460</v>
      </c>
      <c r="CA5" s="1">
        <v>460</v>
      </c>
      <c r="CB5" s="1">
        <v>460</v>
      </c>
      <c r="CC5" s="1">
        <v>460</v>
      </c>
      <c r="CD5" s="1">
        <v>460</v>
      </c>
      <c r="CE5" s="1">
        <v>460</v>
      </c>
      <c r="CF5" s="1">
        <v>460</v>
      </c>
      <c r="CG5" s="1">
        <v>460</v>
      </c>
      <c r="CH5" s="1">
        <v>460</v>
      </c>
      <c r="CI5" s="1">
        <v>460</v>
      </c>
      <c r="CJ5" s="17"/>
      <c r="CK5" s="17"/>
      <c r="CL5" s="17"/>
    </row>
    <row r="6" spans="1:92" x14ac:dyDescent="0.25">
      <c r="A6" s="1" t="s">
        <v>31</v>
      </c>
      <c r="D6" s="1" t="s">
        <v>32</v>
      </c>
      <c r="E6" s="23">
        <f t="shared" ref="E6" si="3">+E4-E5</f>
        <v>-29</v>
      </c>
      <c r="F6" s="23">
        <f t="shared" ref="F6:G6" si="4">+F4-F5</f>
        <v>-31.25</v>
      </c>
      <c r="G6" s="23">
        <f t="shared" si="4"/>
        <v>-32</v>
      </c>
      <c r="H6" s="23">
        <f t="shared" ref="H6:CI6" si="5">+H4-H5</f>
        <v>-33.5</v>
      </c>
      <c r="I6" s="23">
        <f t="shared" si="5"/>
        <v>-35.25</v>
      </c>
      <c r="J6" s="23">
        <f t="shared" si="5"/>
        <v>-33.25</v>
      </c>
      <c r="K6" s="23">
        <f t="shared" si="5"/>
        <v>-33.25</v>
      </c>
      <c r="L6" s="23">
        <f t="shared" si="5"/>
        <v>-35.75</v>
      </c>
      <c r="M6" s="23">
        <f t="shared" si="5"/>
        <v>-39</v>
      </c>
      <c r="N6" s="38">
        <f t="shared" si="5"/>
        <v>-42</v>
      </c>
      <c r="O6" s="23">
        <f t="shared" si="5"/>
        <v>-45.5</v>
      </c>
      <c r="P6" s="39">
        <f t="shared" si="5"/>
        <v>-48</v>
      </c>
      <c r="Q6" s="40">
        <f t="shared" si="5"/>
        <v>-26.142857142857167</v>
      </c>
      <c r="R6" s="39">
        <f t="shared" si="5"/>
        <v>-28.714285714285722</v>
      </c>
      <c r="S6" s="39">
        <f t="shared" si="5"/>
        <v>-30.285714285714278</v>
      </c>
      <c r="T6" s="39">
        <f t="shared" si="5"/>
        <v>-32</v>
      </c>
      <c r="U6" s="39">
        <f t="shared" si="5"/>
        <v>-32.571428571428555</v>
      </c>
      <c r="V6" s="23">
        <f t="shared" si="5"/>
        <v>-31.571428571428555</v>
      </c>
      <c r="W6" s="23">
        <f t="shared" si="5"/>
        <v>-32</v>
      </c>
      <c r="X6" s="23">
        <f t="shared" si="5"/>
        <v>-30.399999999999977</v>
      </c>
      <c r="Y6" s="41">
        <f t="shared" si="5"/>
        <v>-29.25</v>
      </c>
      <c r="Z6" s="23">
        <f t="shared" si="5"/>
        <v>-26.666666666666686</v>
      </c>
      <c r="AA6" s="23">
        <f t="shared" si="5"/>
        <v>-22.5</v>
      </c>
      <c r="AB6" s="23">
        <f t="shared" si="5"/>
        <v>-14</v>
      </c>
      <c r="AC6" s="23">
        <f t="shared" si="5"/>
        <v>-39.583333333333314</v>
      </c>
      <c r="AD6" s="23">
        <f t="shared" si="5"/>
        <v>-38.181818181818187</v>
      </c>
      <c r="AE6" s="23">
        <f t="shared" si="5"/>
        <v>-36.5</v>
      </c>
      <c r="AF6" s="23">
        <f t="shared" si="5"/>
        <v>-34.777777777777771</v>
      </c>
      <c r="AG6" s="23">
        <f t="shared" si="5"/>
        <v>-33.625</v>
      </c>
      <c r="AH6" s="23">
        <f t="shared" si="5"/>
        <v>-33.142857142857167</v>
      </c>
      <c r="AI6" s="23">
        <f t="shared" si="5"/>
        <v>-31.833333333333314</v>
      </c>
      <c r="AJ6" s="23">
        <f t="shared" si="5"/>
        <v>-30.199999999999989</v>
      </c>
      <c r="AK6" s="23">
        <f t="shared" si="5"/>
        <v>-28</v>
      </c>
      <c r="AL6" s="23">
        <f t="shared" si="5"/>
        <v>-26.666666666666686</v>
      </c>
      <c r="AM6" s="23">
        <f t="shared" si="5"/>
        <v>-26</v>
      </c>
      <c r="AN6" s="23">
        <f t="shared" si="5"/>
        <v>-23</v>
      </c>
      <c r="AO6" s="23">
        <f t="shared" si="5"/>
        <v>-18.666666666666686</v>
      </c>
      <c r="AP6" s="23">
        <f t="shared" si="5"/>
        <v>-19.454545454545439</v>
      </c>
      <c r="AQ6" s="23">
        <f t="shared" si="5"/>
        <v>-20.600000000000023</v>
      </c>
      <c r="AR6" s="23">
        <f t="shared" si="5"/>
        <v>-21.111111111111086</v>
      </c>
      <c r="AS6" s="23">
        <f t="shared" si="5"/>
        <v>-21.375</v>
      </c>
      <c r="AT6" s="23">
        <f t="shared" si="5"/>
        <v>-21.714285714285722</v>
      </c>
      <c r="AU6" s="23">
        <f t="shared" si="5"/>
        <v>-22.333333333333314</v>
      </c>
      <c r="AV6" s="23">
        <f t="shared" si="5"/>
        <v>-23.800000000000011</v>
      </c>
      <c r="AW6" s="23">
        <f t="shared" si="5"/>
        <v>-24.75</v>
      </c>
      <c r="AX6" s="23">
        <f t="shared" si="5"/>
        <v>-23.666666666666686</v>
      </c>
      <c r="AY6" s="23">
        <f t="shared" si="5"/>
        <v>-20.5</v>
      </c>
      <c r="AZ6" s="23">
        <f t="shared" si="5"/>
        <v>-18</v>
      </c>
      <c r="BA6" s="23">
        <f t="shared" si="5"/>
        <v>-24.333333333333314</v>
      </c>
      <c r="BB6" s="23">
        <f t="shared" si="5"/>
        <v>-24.090909090909065</v>
      </c>
      <c r="BC6" s="23">
        <f t="shared" si="5"/>
        <v>-23.699999999999989</v>
      </c>
      <c r="BD6" s="23">
        <f t="shared" si="5"/>
        <v>-23.666666666666686</v>
      </c>
      <c r="BE6" s="23">
        <f t="shared" si="5"/>
        <v>-24.25</v>
      </c>
      <c r="BF6" s="23">
        <f t="shared" si="5"/>
        <v>-23.714285714285722</v>
      </c>
      <c r="BG6" s="23">
        <f t="shared" si="5"/>
        <v>-24.166666666666686</v>
      </c>
      <c r="BH6" s="23">
        <f t="shared" si="5"/>
        <v>-24.800000000000011</v>
      </c>
      <c r="BI6" s="23">
        <f t="shared" si="5"/>
        <v>-24.75</v>
      </c>
      <c r="BJ6" s="23">
        <f t="shared" si="5"/>
        <v>-24.666666666666686</v>
      </c>
      <c r="BK6" s="23">
        <f t="shared" si="5"/>
        <v>-26</v>
      </c>
      <c r="BL6" s="23">
        <f t="shared" si="5"/>
        <v>-24</v>
      </c>
      <c r="BM6" s="23">
        <f t="shared" si="5"/>
        <v>-18.454545454545439</v>
      </c>
      <c r="BN6" s="23">
        <f t="shared" si="5"/>
        <v>-19.300000000000011</v>
      </c>
      <c r="BO6" s="23">
        <f t="shared" si="5"/>
        <v>-19.777777777777771</v>
      </c>
      <c r="BP6" s="23">
        <f t="shared" si="5"/>
        <v>-19.75</v>
      </c>
      <c r="BQ6" s="23">
        <f t="shared" si="5"/>
        <v>-19.428571428571445</v>
      </c>
      <c r="BR6" s="23">
        <f t="shared" si="5"/>
        <v>-17.666666666666686</v>
      </c>
      <c r="BS6" s="23">
        <f t="shared" si="5"/>
        <v>-17</v>
      </c>
      <c r="BT6" s="23">
        <f t="shared" si="5"/>
        <v>-17.25</v>
      </c>
      <c r="BU6" s="23">
        <f t="shared" si="5"/>
        <v>-16.333333333333314</v>
      </c>
      <c r="BV6" s="23">
        <f t="shared" si="5"/>
        <v>-16</v>
      </c>
      <c r="BW6" s="23">
        <f t="shared" si="5"/>
        <v>-12</v>
      </c>
      <c r="BX6" s="23">
        <f t="shared" si="5"/>
        <v>-27.636363636363626</v>
      </c>
      <c r="BY6" s="23">
        <f t="shared" si="5"/>
        <v>-27.636363636363626</v>
      </c>
      <c r="BZ6" s="23">
        <f t="shared" si="5"/>
        <v>-28.199999999999989</v>
      </c>
      <c r="CA6" s="23">
        <f t="shared" si="5"/>
        <v>-28.777777777777771</v>
      </c>
      <c r="CB6" s="23">
        <f t="shared" si="5"/>
        <v>-29.25</v>
      </c>
      <c r="CC6" s="23">
        <f t="shared" si="5"/>
        <v>-29.571428571428555</v>
      </c>
      <c r="CD6" s="23">
        <f t="shared" si="5"/>
        <v>-29.833333333333314</v>
      </c>
      <c r="CE6" s="23">
        <f t="shared" si="5"/>
        <v>-29.800000000000011</v>
      </c>
      <c r="CF6" s="23">
        <f t="shared" si="5"/>
        <v>-29.25</v>
      </c>
      <c r="CG6" s="23">
        <f t="shared" si="5"/>
        <v>-33</v>
      </c>
      <c r="CH6" s="23">
        <f t="shared" si="5"/>
        <v>-26.5</v>
      </c>
      <c r="CI6" s="23">
        <f t="shared" si="5"/>
        <v>-21</v>
      </c>
      <c r="CK6" s="17"/>
    </row>
    <row r="7" spans="1:92" x14ac:dyDescent="0.25">
      <c r="A7" s="1" t="s">
        <v>56</v>
      </c>
      <c r="D7" s="1" t="s">
        <v>34</v>
      </c>
      <c r="E7" s="24">
        <f t="shared" ref="E7" si="6">+E6*192</f>
        <v>-5568</v>
      </c>
      <c r="F7" s="24">
        <f t="shared" ref="F7:G7" si="7">+F6*192</f>
        <v>-6000</v>
      </c>
      <c r="G7" s="24">
        <f t="shared" si="7"/>
        <v>-6144</v>
      </c>
      <c r="H7" s="24">
        <f t="shared" ref="H7:AN7" si="8">+H6*192</f>
        <v>-6432</v>
      </c>
      <c r="I7" s="24">
        <f t="shared" si="8"/>
        <v>-6768</v>
      </c>
      <c r="J7" s="24">
        <f t="shared" si="8"/>
        <v>-6384</v>
      </c>
      <c r="K7" s="24">
        <f t="shared" si="8"/>
        <v>-6384</v>
      </c>
      <c r="L7" s="24">
        <f t="shared" si="8"/>
        <v>-6864</v>
      </c>
      <c r="M7" s="24">
        <f t="shared" si="8"/>
        <v>-7488</v>
      </c>
      <c r="N7" s="42">
        <f t="shared" si="8"/>
        <v>-8064</v>
      </c>
      <c r="O7" s="24">
        <f t="shared" si="8"/>
        <v>-8736</v>
      </c>
      <c r="P7" s="24">
        <f t="shared" si="8"/>
        <v>-9216</v>
      </c>
      <c r="Q7" s="65">
        <f t="shared" si="8"/>
        <v>-5019.4285714285761</v>
      </c>
      <c r="R7" s="24">
        <f t="shared" si="8"/>
        <v>-5513.1428571428587</v>
      </c>
      <c r="S7" s="24">
        <f t="shared" si="8"/>
        <v>-5814.8571428571413</v>
      </c>
      <c r="T7" s="24">
        <f t="shared" si="8"/>
        <v>-6144</v>
      </c>
      <c r="U7" s="24">
        <f t="shared" si="8"/>
        <v>-6253.7142857142826</v>
      </c>
      <c r="V7" s="42">
        <f t="shared" si="8"/>
        <v>-6061.7142857142826</v>
      </c>
      <c r="W7" s="24">
        <f t="shared" si="8"/>
        <v>-6144</v>
      </c>
      <c r="X7" s="24">
        <f t="shared" si="8"/>
        <v>-5836.7999999999956</v>
      </c>
      <c r="Y7" s="43">
        <f t="shared" si="8"/>
        <v>-5616</v>
      </c>
      <c r="Z7" s="24">
        <f t="shared" si="8"/>
        <v>-5120.0000000000036</v>
      </c>
      <c r="AA7" s="24">
        <f t="shared" si="8"/>
        <v>-4320</v>
      </c>
      <c r="AB7" s="24">
        <f t="shared" si="8"/>
        <v>-2688</v>
      </c>
      <c r="AC7" s="24">
        <f t="shared" si="8"/>
        <v>-7599.9999999999964</v>
      </c>
      <c r="AD7" s="24">
        <f t="shared" si="8"/>
        <v>-7330.9090909090919</v>
      </c>
      <c r="AE7" s="24">
        <f t="shared" si="8"/>
        <v>-7008</v>
      </c>
      <c r="AF7" s="24">
        <f t="shared" si="8"/>
        <v>-6677.3333333333321</v>
      </c>
      <c r="AG7" s="24">
        <f t="shared" si="8"/>
        <v>-6456</v>
      </c>
      <c r="AH7" s="24">
        <f t="shared" si="8"/>
        <v>-6363.4285714285761</v>
      </c>
      <c r="AI7" s="24">
        <f t="shared" si="8"/>
        <v>-6111.9999999999964</v>
      </c>
      <c r="AJ7" s="24">
        <f t="shared" si="8"/>
        <v>-5798.3999999999978</v>
      </c>
      <c r="AK7" s="24">
        <f t="shared" si="8"/>
        <v>-5376</v>
      </c>
      <c r="AL7" s="24">
        <f t="shared" si="8"/>
        <v>-5120.0000000000036</v>
      </c>
      <c r="AM7" s="24">
        <f t="shared" si="8"/>
        <v>-4992</v>
      </c>
      <c r="AN7" s="24">
        <f t="shared" si="8"/>
        <v>-4416</v>
      </c>
      <c r="AO7" s="24">
        <f t="shared" ref="AO7:CI7" si="9">+AO6*168</f>
        <v>-3136.0000000000032</v>
      </c>
      <c r="AP7" s="24">
        <f t="shared" si="9"/>
        <v>-3268.3636363636338</v>
      </c>
      <c r="AQ7" s="24">
        <f t="shared" si="9"/>
        <v>-3460.8000000000038</v>
      </c>
      <c r="AR7" s="24">
        <f t="shared" si="9"/>
        <v>-3546.6666666666624</v>
      </c>
      <c r="AS7" s="24">
        <f t="shared" si="9"/>
        <v>-3591</v>
      </c>
      <c r="AT7" s="24">
        <f t="shared" si="9"/>
        <v>-3648.0000000000014</v>
      </c>
      <c r="AU7" s="24">
        <f t="shared" si="9"/>
        <v>-3751.9999999999968</v>
      </c>
      <c r="AV7" s="24">
        <f t="shared" si="9"/>
        <v>-3998.4000000000019</v>
      </c>
      <c r="AW7" s="24">
        <f t="shared" si="9"/>
        <v>-4158</v>
      </c>
      <c r="AX7" s="24">
        <f t="shared" si="9"/>
        <v>-3976.0000000000032</v>
      </c>
      <c r="AY7" s="24">
        <f t="shared" si="9"/>
        <v>-3444</v>
      </c>
      <c r="AZ7" s="24">
        <f t="shared" si="9"/>
        <v>-3024</v>
      </c>
      <c r="BA7" s="24">
        <f t="shared" si="9"/>
        <v>-4087.9999999999968</v>
      </c>
      <c r="BB7" s="24">
        <f t="shared" si="9"/>
        <v>-4047.2727272727229</v>
      </c>
      <c r="BC7" s="24">
        <f t="shared" si="9"/>
        <v>-3981.5999999999981</v>
      </c>
      <c r="BD7" s="24">
        <f t="shared" si="9"/>
        <v>-3976.0000000000032</v>
      </c>
      <c r="BE7" s="24">
        <f t="shared" si="9"/>
        <v>-4074</v>
      </c>
      <c r="BF7" s="24">
        <f t="shared" si="9"/>
        <v>-3984.0000000000014</v>
      </c>
      <c r="BG7" s="24">
        <f t="shared" si="9"/>
        <v>-4060.0000000000032</v>
      </c>
      <c r="BH7" s="24">
        <f t="shared" si="9"/>
        <v>-4166.4000000000015</v>
      </c>
      <c r="BI7" s="24">
        <f t="shared" si="9"/>
        <v>-4158</v>
      </c>
      <c r="BJ7" s="24">
        <f t="shared" si="9"/>
        <v>-4144.0000000000036</v>
      </c>
      <c r="BK7" s="24">
        <f t="shared" si="9"/>
        <v>-4368</v>
      </c>
      <c r="BL7" s="24">
        <f t="shared" si="9"/>
        <v>-4032</v>
      </c>
      <c r="BM7" s="24">
        <f t="shared" si="9"/>
        <v>-3100.3636363636338</v>
      </c>
      <c r="BN7" s="24">
        <f t="shared" si="9"/>
        <v>-3242.4000000000019</v>
      </c>
      <c r="BO7" s="24">
        <f t="shared" si="9"/>
        <v>-3322.6666666666656</v>
      </c>
      <c r="BP7" s="24">
        <f t="shared" si="9"/>
        <v>-3318</v>
      </c>
      <c r="BQ7" s="24">
        <f t="shared" si="9"/>
        <v>-3264.0000000000027</v>
      </c>
      <c r="BR7" s="24">
        <f t="shared" si="9"/>
        <v>-2968.0000000000032</v>
      </c>
      <c r="BS7" s="24">
        <f t="shared" si="9"/>
        <v>-2856</v>
      </c>
      <c r="BT7" s="24">
        <f t="shared" si="9"/>
        <v>-2898</v>
      </c>
      <c r="BU7" s="24">
        <f t="shared" si="9"/>
        <v>-2743.9999999999968</v>
      </c>
      <c r="BV7" s="24">
        <f t="shared" si="9"/>
        <v>-2688</v>
      </c>
      <c r="BW7" s="24">
        <f t="shared" si="9"/>
        <v>-2016</v>
      </c>
      <c r="BX7" s="24">
        <f t="shared" si="9"/>
        <v>-4642.9090909090892</v>
      </c>
      <c r="BY7" s="24">
        <f t="shared" si="9"/>
        <v>-4642.9090909090892</v>
      </c>
      <c r="BZ7" s="24">
        <f t="shared" si="9"/>
        <v>-4737.5999999999985</v>
      </c>
      <c r="CA7" s="24">
        <f t="shared" si="9"/>
        <v>-4834.6666666666661</v>
      </c>
      <c r="CB7" s="24">
        <f t="shared" si="9"/>
        <v>-4914</v>
      </c>
      <c r="CC7" s="24">
        <f t="shared" si="9"/>
        <v>-4967.9999999999973</v>
      </c>
      <c r="CD7" s="24">
        <f t="shared" si="9"/>
        <v>-5011.9999999999964</v>
      </c>
      <c r="CE7" s="24">
        <f t="shared" si="9"/>
        <v>-5006.4000000000015</v>
      </c>
      <c r="CF7" s="24">
        <f t="shared" si="9"/>
        <v>-4914</v>
      </c>
      <c r="CG7" s="24">
        <f t="shared" si="9"/>
        <v>-5544</v>
      </c>
      <c r="CH7" s="24">
        <f t="shared" si="9"/>
        <v>-4452</v>
      </c>
      <c r="CI7" s="24">
        <f t="shared" si="9"/>
        <v>-3528</v>
      </c>
    </row>
    <row r="8" spans="1:92" x14ac:dyDescent="0.25">
      <c r="E8" s="1"/>
      <c r="F8" s="1"/>
      <c r="G8" s="1"/>
      <c r="H8" s="1"/>
      <c r="I8" s="1"/>
      <c r="N8" s="29"/>
      <c r="P8" s="17"/>
      <c r="Q8" s="22"/>
      <c r="R8" s="17"/>
      <c r="S8" s="17"/>
      <c r="T8" s="14"/>
      <c r="U8" s="16"/>
      <c r="V8" s="1"/>
      <c r="W8" s="1"/>
      <c r="Y8" s="37"/>
    </row>
    <row r="9" spans="1:92" x14ac:dyDescent="0.25">
      <c r="A9" s="36" t="s">
        <v>35</v>
      </c>
      <c r="D9" s="1" t="s">
        <v>36</v>
      </c>
      <c r="E9" s="25">
        <f>140839.18-61188.17-22112.5-17209.5</f>
        <v>40329.009999999995</v>
      </c>
      <c r="F9" s="25">
        <f>135643.29-59956.17-21925-16803.5</f>
        <v>36958.62000000001</v>
      </c>
      <c r="G9" s="25">
        <f>129605.21-59860.17-21925-13399.5</f>
        <v>34420.540000000008</v>
      </c>
      <c r="H9" s="25">
        <f>120415.64-59284.17-21787.5-12949.5</f>
        <v>26394.47</v>
      </c>
      <c r="I9" s="25">
        <f>113827.9-58674.67-21437.5-12949.5</f>
        <v>20766.229999999996</v>
      </c>
      <c r="J9" s="25">
        <f>109455.3-57938.67-21212.5-12949.5</f>
        <v>17354.630000000005</v>
      </c>
      <c r="K9" s="25">
        <f>104933.41-56738.67-20262.5-12949.5</f>
        <v>14982.740000000005</v>
      </c>
      <c r="L9" s="25">
        <f>101048.75-55378.67-19662.5-12949.5</f>
        <v>13058.080000000002</v>
      </c>
      <c r="M9" s="25">
        <f>95806.56-54098.67-18887.5-13014</f>
        <v>9806.39</v>
      </c>
      <c r="N9" s="44">
        <f>81144.43-52498.67-18150-2073</f>
        <v>8422.7599999999948</v>
      </c>
      <c r="O9" s="25">
        <f>69786.97-48718.17-16912.5-0</f>
        <v>4156.3000000000029</v>
      </c>
      <c r="P9" s="45">
        <f>55961.81-42379.83-11800-0</f>
        <v>1781.9799999999959</v>
      </c>
      <c r="Q9" s="46">
        <f>138799.03-64867.67-21912.5-17986</f>
        <v>34032.86</v>
      </c>
      <c r="R9" s="45">
        <f>133534.81-64755.67-21537.5-16564</f>
        <v>30677.64</v>
      </c>
      <c r="S9" s="45">
        <f>126103.4-64323.67-21412.5-11643</f>
        <v>28724.229999999996</v>
      </c>
      <c r="T9" s="45">
        <f>118942.92-63907.67-21262.5-10851</f>
        <v>22921.75</v>
      </c>
      <c r="U9" s="45">
        <f>112645.56-63250.17-21062.5-10851</f>
        <v>17481.89</v>
      </c>
      <c r="V9" s="25">
        <f>105714.78-61650.17-20562.5-10851</f>
        <v>12651.11</v>
      </c>
      <c r="W9" s="25">
        <f>(101207.39-59922.17-20000-10851)</f>
        <v>10434.220000000001</v>
      </c>
      <c r="X9" s="25">
        <f>(96736.21-58194.17-18837.5-10851)</f>
        <v>8853.5400000000081</v>
      </c>
      <c r="Y9" s="47">
        <f>(90616.76-55874.17-18237.5 -9511)</f>
        <v>6994.0899999999965</v>
      </c>
      <c r="Z9" s="25">
        <f>(85270.86-52956.17-17575-9298)</f>
        <v>5441.6900000000023</v>
      </c>
      <c r="AA9" s="25">
        <f>(78275.58-49836.17-16250-8497)</f>
        <v>3692.4100000000035</v>
      </c>
      <c r="AB9" s="25">
        <f>(67368.02-45912.67-14975-3559)</f>
        <v>2921.3500000000058</v>
      </c>
      <c r="AC9" s="25">
        <f>(137306.14-67877.92-20200-30214)</f>
        <v>19014.220000000016</v>
      </c>
      <c r="AD9" s="25">
        <f>(136448.28-67877.92-20200-30114)</f>
        <v>18256.36</v>
      </c>
      <c r="AE9" s="25">
        <f>(134507.89-67669.92-20125-30114)</f>
        <v>16598.970000000016</v>
      </c>
      <c r="AF9" s="25">
        <f>(132419.84-67269.92-20000-30114)</f>
        <v>15035.919999999998</v>
      </c>
      <c r="AG9" s="25">
        <f>(130087.57-66753.17-19687.5-30114)</f>
        <v>13532.900000000009</v>
      </c>
      <c r="AH9" s="25">
        <f>(127052.36-65745.17-19381.63-30114)</f>
        <v>11811.559999999998</v>
      </c>
      <c r="AI9" s="25">
        <f>(123915.64-30114-18875-64465.17)</f>
        <v>10461.470000000001</v>
      </c>
      <c r="AJ9" s="25">
        <f>(119400.68-30114-17675-62689.17)</f>
        <v>8922.5099999999948</v>
      </c>
      <c r="AK9" s="25">
        <f>(115089.98-30114-16637.5-60369.17)</f>
        <v>7969.3099999999977</v>
      </c>
      <c r="AL9" s="25">
        <f>(104401.99-24697-15950-57627.17)</f>
        <v>6127.820000000007</v>
      </c>
      <c r="AM9" s="25">
        <f>(77385.8-5317-14845.47-52892.33)</f>
        <v>4331</v>
      </c>
      <c r="AN9" s="25">
        <f>(62340.33-13675-46824.33)</f>
        <v>1841</v>
      </c>
      <c r="AO9" s="25">
        <f>(154801.49-68573.91-39133-19800)</f>
        <v>27294.579999999987</v>
      </c>
      <c r="AP9" s="25">
        <f>(153315.22-68538.91-39133-19950)</f>
        <v>25693.309999999998</v>
      </c>
      <c r="AQ9" s="25">
        <f>(151296.12-68272.91-39133-19762.5)</f>
        <v>24127.709999999992</v>
      </c>
      <c r="AR9" s="25">
        <f>(147112.31-67824.91-39133-19550)</f>
        <v>20604.399999999994</v>
      </c>
      <c r="AS9" s="25">
        <f>(142407.77-39133-66893.91-19387.5)</f>
        <v>16993.359999999986</v>
      </c>
      <c r="AT9" s="25">
        <f>(139856.59-39133-66263.91-19062.5)</f>
        <v>15397.179999999993</v>
      </c>
      <c r="AU9" s="25">
        <f>(136007.43-39133-64842.16-18587.5)</f>
        <v>13444.76999999999</v>
      </c>
      <c r="AV9" s="25">
        <f>(131771.28-63099-39133-17437.5)</f>
        <v>12101.779999999999</v>
      </c>
      <c r="AW9" s="25">
        <f>(125494.11-39091-60656.16-16737.5)</f>
        <v>9009.4499999999971</v>
      </c>
      <c r="AX9" s="25">
        <f>(111292.57-57086.5-15950-31766)</f>
        <v>6490.070000000007</v>
      </c>
      <c r="AY9" s="25">
        <f>(80242.26-8204-15400-52420.59)</f>
        <v>4217.6699999999983</v>
      </c>
      <c r="AZ9" s="25">
        <f>(64009.71-13787.5-47447.59)</f>
        <v>2774.6200000000026</v>
      </c>
      <c r="BA9" s="8">
        <v>31472.04</v>
      </c>
      <c r="BB9" s="8">
        <v>30311.14</v>
      </c>
      <c r="BC9" s="8">
        <v>28557.37</v>
      </c>
      <c r="BD9" s="8">
        <v>27103.56</v>
      </c>
      <c r="BE9" s="8">
        <v>24629.8</v>
      </c>
      <c r="BF9" s="48">
        <f>152288.03-70003.48-19432.5-39847</f>
        <v>23005.050000000003</v>
      </c>
      <c r="BG9" s="48">
        <f>147875.59-39847-68561.48-18545</f>
        <v>20922.11</v>
      </c>
      <c r="BH9" s="48">
        <f>137852.19-67063.48-17420-36040</f>
        <v>17328.710000000006</v>
      </c>
      <c r="BI9" s="48">
        <f>127375.56-29573-65297.23-17057.5</f>
        <v>15447.829999999994</v>
      </c>
      <c r="BJ9" s="48">
        <f>100592.34-62570.56-16307.5-8244</f>
        <v>13470.279999999999</v>
      </c>
      <c r="BK9" s="48">
        <f>80791.57-56664.15-15745</f>
        <v>8382.4200000000055</v>
      </c>
      <c r="BL9" s="48">
        <f>70654.5-14395-50670.65</f>
        <v>5588.8499999999985</v>
      </c>
      <c r="BM9" s="48">
        <f>186541.69-50742-73758.84-21200</f>
        <v>40840.850000000006</v>
      </c>
      <c r="BN9" s="48">
        <f>179593.44-50742-73555.84-21187.5</f>
        <v>34108.100000000006</v>
      </c>
      <c r="BO9" s="48">
        <f>168214.77-73037.84-21062.5-50742</f>
        <v>23372.429999999993</v>
      </c>
      <c r="BP9" s="48">
        <f>165275.02-50742-72421.84-20762.5</f>
        <v>21348.679999999993</v>
      </c>
      <c r="BQ9" s="48">
        <f>161997.84-50677-20625-71189.84</f>
        <v>19506</v>
      </c>
      <c r="BR9" s="48">
        <f>158489.58-50677-69999.84-19787.5</f>
        <v>18025.239999999991</v>
      </c>
      <c r="BS9" s="48">
        <f>152773.52-18587.5-68899.94-49811</f>
        <v>15475.079999999987</v>
      </c>
      <c r="BT9" s="48">
        <f>142850.75-43480-66953.84-18050</f>
        <v>14366.910000000003</v>
      </c>
      <c r="BU9" s="48">
        <f>117858.96-25433-64007.84-17262.5</f>
        <v>11155.62000000001</v>
      </c>
      <c r="BV9" s="48">
        <f>103380.46-19355-60530.17-16575</f>
        <v>6920.2900000000081</v>
      </c>
      <c r="BW9" s="48">
        <f>91409.49-17515-53484.25-14875</f>
        <v>5535.2400000000052</v>
      </c>
      <c r="CN9" s="1" t="s">
        <v>37</v>
      </c>
    </row>
    <row r="10" spans="1:92" x14ac:dyDescent="0.25">
      <c r="A10" s="36" t="s">
        <v>38</v>
      </c>
      <c r="D10" s="1" t="s">
        <v>39</v>
      </c>
      <c r="E10" s="26">
        <f>(165901-74055-20000-46731)/12*12</f>
        <v>25115</v>
      </c>
      <c r="F10" s="26">
        <f>(165901-74055-20000-46731)/12*11</f>
        <v>23022.083333333332</v>
      </c>
      <c r="G10" s="26">
        <f>(165901-74055-20000-46731)/12*10</f>
        <v>20929.166666666664</v>
      </c>
      <c r="H10" s="26">
        <f>(165901-74055-20000-46731)/12*9</f>
        <v>18836.25</v>
      </c>
      <c r="I10" s="26">
        <f>(165901-74055-20000-46731)/12*8</f>
        <v>16743.333333333332</v>
      </c>
      <c r="J10" s="26">
        <f>(165901-74055-20000-46731)/12*7</f>
        <v>14650.416666666666</v>
      </c>
      <c r="K10" s="26">
        <f>(165901-74055-20000-46731)/12*6</f>
        <v>12557.5</v>
      </c>
      <c r="L10" s="26">
        <f>(165901-74055-20000-46731)/12*5</f>
        <v>10464.583333333332</v>
      </c>
      <c r="M10" s="26">
        <f>(165901-74055-20000-46731)/12*4</f>
        <v>8371.6666666666661</v>
      </c>
      <c r="N10" s="49">
        <f>(165901-74055-20000-46731)/12*3</f>
        <v>6278.75</v>
      </c>
      <c r="O10" s="26">
        <f>(165901-74055-20000-46731)/12*2</f>
        <v>4185.833333333333</v>
      </c>
      <c r="P10" s="50">
        <f>(165901-74055-20000-46731)/12*1</f>
        <v>2092.9166666666665</v>
      </c>
      <c r="Q10" s="51">
        <f>(165901-74055-20000-46731)/12*12</f>
        <v>25115</v>
      </c>
      <c r="R10" s="50">
        <f>(165901-74055-20000-46731)/12*11</f>
        <v>23022.083333333332</v>
      </c>
      <c r="S10" s="50">
        <f>(165901-74055-20000-46731)/12*10</f>
        <v>20929.166666666664</v>
      </c>
      <c r="T10" s="50">
        <f>(165901-74055-20000-46731)/12*9</f>
        <v>18836.25</v>
      </c>
      <c r="U10" s="50">
        <f>(165901-74055-20000-46731)/12*8</f>
        <v>16743.333333333332</v>
      </c>
      <c r="V10" s="26">
        <f>(165901-74055-20000-46731)/12*7</f>
        <v>14650.416666666666</v>
      </c>
      <c r="W10" s="26">
        <f>(165901-74055-20000-46731)/12*6</f>
        <v>12557.5</v>
      </c>
      <c r="X10" s="26">
        <f>(165901-74055-20000-46731)/12*5</f>
        <v>10464.583333333332</v>
      </c>
      <c r="Y10" s="52">
        <f>(165901-74055-20000-46731)/12*4</f>
        <v>8371.6666666666661</v>
      </c>
      <c r="Z10" s="26">
        <f>(165901-74055-20000-46731)/12*3</f>
        <v>6278.75</v>
      </c>
      <c r="AA10" s="26">
        <f>(165901-74055-20000-46731)/12*2</f>
        <v>4185.833333333333</v>
      </c>
      <c r="AB10" s="26">
        <f>(165901-74055-20000-46731)/12*1</f>
        <v>2092.9166666666665</v>
      </c>
      <c r="AC10" s="26">
        <f>(173742-84165-20000-44486)/12*12</f>
        <v>25091</v>
      </c>
      <c r="AD10" s="26">
        <f>(173742-84165-20000-44486)/12*11</f>
        <v>23000.083333333332</v>
      </c>
      <c r="AE10" s="26">
        <f>(173742-84165-20000-44486)/12*10</f>
        <v>20909.166666666664</v>
      </c>
      <c r="AF10" s="26">
        <f>(173742-84165-20000-44486)/12*9</f>
        <v>18818.25</v>
      </c>
      <c r="AG10" s="26">
        <f>(173742-84165-20000-44486)/12*8</f>
        <v>16727.333333333332</v>
      </c>
      <c r="AH10" s="26">
        <f>(173742-84165-20000-44486)/12*7</f>
        <v>14636.416666666666</v>
      </c>
      <c r="AI10" s="26">
        <f>(173742-84165-20000-44486)/12*6</f>
        <v>12545.5</v>
      </c>
      <c r="AJ10" s="26">
        <f>(173742-84165-20000-44486)/12*5</f>
        <v>10454.583333333332</v>
      </c>
      <c r="AK10" s="26">
        <f>(173742-84165-20000-44486)/12*4</f>
        <v>8363.6666666666661</v>
      </c>
      <c r="AL10" s="26">
        <f>(173742-84165-20000-44486)/12*3</f>
        <v>6272.75</v>
      </c>
      <c r="AM10" s="26">
        <f>(173742-84165-20000-44486)/12*2</f>
        <v>4181.833333333333</v>
      </c>
      <c r="AN10" s="26">
        <f>(173742-84165-20000-44486)/12*1</f>
        <v>2090.9166666666665</v>
      </c>
      <c r="AO10" s="26">
        <f>(161708-73902-42162-20000)/12*12</f>
        <v>25644</v>
      </c>
      <c r="AP10" s="26">
        <f>(161708-73902-42162-20000)/12*11</f>
        <v>23507</v>
      </c>
      <c r="AQ10" s="26">
        <f>(161708-73902-42162-20000)/12*10</f>
        <v>21370</v>
      </c>
      <c r="AR10" s="26">
        <f>(161708-73902-42162-20000)/12*9</f>
        <v>19233</v>
      </c>
      <c r="AS10" s="26">
        <f>(161708-73902-42162-20000)/12*8</f>
        <v>17096</v>
      </c>
      <c r="AT10" s="26">
        <f>(161708-73902-42162-20000)/12*7</f>
        <v>14959</v>
      </c>
      <c r="AU10" s="26">
        <f>(161708-73902-42162-20000)/12*6</f>
        <v>12822</v>
      </c>
      <c r="AV10" s="26">
        <f>(161708-73902-42162-20000)/12*5</f>
        <v>10685</v>
      </c>
      <c r="AW10" s="26">
        <f>(161708-73902-42162-20000)/12*4</f>
        <v>8548</v>
      </c>
      <c r="AX10" s="26">
        <f>(161708-73902-42162-20000)/12*3</f>
        <v>6411</v>
      </c>
      <c r="AY10" s="26">
        <f>(161708-73902-42162-20000)/12*2</f>
        <v>4274</v>
      </c>
      <c r="AZ10" s="26">
        <f>(161708-73902-42162-20000)/12*1</f>
        <v>2137</v>
      </c>
      <c r="BA10" s="53">
        <f>(174743-45101-78942-20000)/12*12</f>
        <v>30700</v>
      </c>
      <c r="BB10" s="53">
        <f>(174743-45101-78942-20000)/12*11</f>
        <v>28141.666666666668</v>
      </c>
      <c r="BC10" s="53">
        <f>(174743-45101-78942-20000)/12*10</f>
        <v>25583.333333333336</v>
      </c>
      <c r="BD10" s="53">
        <f>(174743-45101-78942-20000)/12*9</f>
        <v>23025</v>
      </c>
      <c r="BE10" s="53">
        <f>(174743-45101-78942-20000)/12*8</f>
        <v>20466.666666666668</v>
      </c>
      <c r="BF10" s="48">
        <f>(174743-45101-78942-20000)/12*7</f>
        <v>17908.333333333336</v>
      </c>
      <c r="BG10" s="48">
        <f>(174743-45101-78942-20000)/12*6</f>
        <v>15350</v>
      </c>
      <c r="BH10" s="48">
        <f>(174743-45101-78942-20000)/12*5</f>
        <v>12791.666666666668</v>
      </c>
      <c r="BI10" s="48">
        <f>(174743-45101-78942-20000)/12*4</f>
        <v>10233.333333333334</v>
      </c>
      <c r="BJ10" s="48">
        <f>(174743-45101-78942-20000)/12*3</f>
        <v>7675</v>
      </c>
      <c r="BK10" s="48">
        <f>(174743-45101-78942-20000)/12*2</f>
        <v>5116.666666666667</v>
      </c>
      <c r="BL10" s="48">
        <f>(174743-45101-78942-20000)/12</f>
        <v>2558.3333333333335</v>
      </c>
      <c r="BM10" s="48">
        <f>(58217-18000)/12*11</f>
        <v>36865.583333333328</v>
      </c>
      <c r="BN10" s="48">
        <f>(58217-18000)/12*10</f>
        <v>33514.166666666664</v>
      </c>
      <c r="BO10" s="48">
        <f>(58217-18000)/12*9</f>
        <v>30162.75</v>
      </c>
      <c r="BP10" s="48">
        <f>(58217-18000)/12*8</f>
        <v>26811.333333333332</v>
      </c>
      <c r="BQ10" s="48">
        <f>(58217-18000)/12*7</f>
        <v>23459.916666666664</v>
      </c>
      <c r="BR10" s="48">
        <f>(58217-18000)/12*6</f>
        <v>20108.5</v>
      </c>
      <c r="BS10" s="48">
        <f>(58217-18000)/12*5</f>
        <v>16757.083333333332</v>
      </c>
      <c r="BT10" s="48">
        <f>(58217-18000)/12*4</f>
        <v>13405.666666666666</v>
      </c>
      <c r="BU10" s="48">
        <f>(58217-18000)/12*3</f>
        <v>10054.25</v>
      </c>
      <c r="BV10" s="48">
        <f>(58217-18000)/12*2</f>
        <v>6702.833333333333</v>
      </c>
      <c r="BW10" s="48">
        <f>(58217-18000)/12</f>
        <v>3351.4166666666665</v>
      </c>
    </row>
    <row r="11" spans="1:92" x14ac:dyDescent="0.25">
      <c r="D11" s="1" t="s">
        <v>40</v>
      </c>
      <c r="E11" s="24">
        <f t="shared" ref="E11" si="10">+E9-E10</f>
        <v>15214.009999999995</v>
      </c>
      <c r="F11" s="24">
        <f t="shared" ref="F11:G11" si="11">+F9-F10</f>
        <v>13936.536666666678</v>
      </c>
      <c r="G11" s="24">
        <f t="shared" si="11"/>
        <v>13491.373333333344</v>
      </c>
      <c r="H11" s="24">
        <f t="shared" ref="H11:BW11" si="12">+H9-H10</f>
        <v>7558.2200000000012</v>
      </c>
      <c r="I11" s="24">
        <f t="shared" si="12"/>
        <v>4022.8966666666638</v>
      </c>
      <c r="J11" s="24">
        <f t="shared" si="12"/>
        <v>2704.2133333333386</v>
      </c>
      <c r="K11" s="24">
        <f t="shared" si="12"/>
        <v>2425.2400000000052</v>
      </c>
      <c r="L11" s="24">
        <f t="shared" si="12"/>
        <v>2593.4966666666696</v>
      </c>
      <c r="M11" s="24">
        <f t="shared" si="12"/>
        <v>1434.7233333333334</v>
      </c>
      <c r="N11" s="42">
        <f t="shared" si="12"/>
        <v>2144.0099999999948</v>
      </c>
      <c r="O11" s="24">
        <f t="shared" si="12"/>
        <v>-29.53333333333012</v>
      </c>
      <c r="P11" s="24">
        <f t="shared" si="12"/>
        <v>-310.93666666667059</v>
      </c>
      <c r="Q11" s="65">
        <f t="shared" si="12"/>
        <v>8917.86</v>
      </c>
      <c r="R11" s="24">
        <f t="shared" si="12"/>
        <v>7655.5566666666673</v>
      </c>
      <c r="S11" s="24">
        <f t="shared" si="12"/>
        <v>7795.0633333333317</v>
      </c>
      <c r="T11" s="24">
        <f t="shared" si="12"/>
        <v>4085.5</v>
      </c>
      <c r="U11" s="24">
        <f t="shared" si="12"/>
        <v>738.5566666666673</v>
      </c>
      <c r="V11" s="42">
        <f t="shared" si="12"/>
        <v>-1999.3066666666655</v>
      </c>
      <c r="W11" s="24">
        <f t="shared" si="12"/>
        <v>-2123.2799999999988</v>
      </c>
      <c r="X11" s="24">
        <f t="shared" si="12"/>
        <v>-1611.043333333324</v>
      </c>
      <c r="Y11" s="43">
        <f t="shared" si="12"/>
        <v>-1377.5766666666696</v>
      </c>
      <c r="Z11" s="24">
        <f t="shared" si="12"/>
        <v>-837.05999999999767</v>
      </c>
      <c r="AA11" s="24">
        <f t="shared" si="12"/>
        <v>-493.42333333332954</v>
      </c>
      <c r="AB11" s="24">
        <f t="shared" si="12"/>
        <v>828.43333333333931</v>
      </c>
      <c r="AC11" s="24">
        <f t="shared" si="12"/>
        <v>-6076.7799999999843</v>
      </c>
      <c r="AD11" s="24">
        <f t="shared" si="12"/>
        <v>-4743.7233333333315</v>
      </c>
      <c r="AE11" s="24">
        <f t="shared" si="12"/>
        <v>-4310.1966666666485</v>
      </c>
      <c r="AF11" s="24">
        <f t="shared" si="12"/>
        <v>-3782.3300000000017</v>
      </c>
      <c r="AG11" s="24">
        <f t="shared" si="12"/>
        <v>-3194.4333333333234</v>
      </c>
      <c r="AH11" s="24">
        <f t="shared" si="12"/>
        <v>-2824.8566666666684</v>
      </c>
      <c r="AI11" s="24">
        <f t="shared" si="12"/>
        <v>-2084.0299999999988</v>
      </c>
      <c r="AJ11" s="24">
        <f t="shared" si="12"/>
        <v>-1532.0733333333374</v>
      </c>
      <c r="AK11" s="24">
        <f t="shared" si="12"/>
        <v>-394.35666666666839</v>
      </c>
      <c r="AL11" s="24">
        <f t="shared" si="12"/>
        <v>-144.92999999999302</v>
      </c>
      <c r="AM11" s="24">
        <f t="shared" si="12"/>
        <v>149.16666666666697</v>
      </c>
      <c r="AN11" s="24">
        <f t="shared" si="12"/>
        <v>-249.91666666666652</v>
      </c>
      <c r="AO11" s="24">
        <f t="shared" si="12"/>
        <v>1650.5799999999872</v>
      </c>
      <c r="AP11" s="24">
        <f t="shared" si="12"/>
        <v>2186.3099999999977</v>
      </c>
      <c r="AQ11" s="24">
        <f t="shared" si="12"/>
        <v>2757.7099999999919</v>
      </c>
      <c r="AR11" s="24">
        <f t="shared" si="12"/>
        <v>1371.3999999999942</v>
      </c>
      <c r="AS11" s="24">
        <f t="shared" si="12"/>
        <v>-102.64000000001397</v>
      </c>
      <c r="AT11" s="24">
        <f t="shared" si="12"/>
        <v>438.17999999999302</v>
      </c>
      <c r="AU11" s="24">
        <f t="shared" si="12"/>
        <v>622.76999999998952</v>
      </c>
      <c r="AV11" s="24">
        <f t="shared" si="12"/>
        <v>1416.7799999999988</v>
      </c>
      <c r="AW11" s="24">
        <f t="shared" si="12"/>
        <v>461.44999999999709</v>
      </c>
      <c r="AX11" s="24">
        <f t="shared" si="12"/>
        <v>79.070000000006985</v>
      </c>
      <c r="AY11" s="24">
        <f t="shared" si="12"/>
        <v>-56.330000000001746</v>
      </c>
      <c r="AZ11" s="24">
        <f t="shared" si="12"/>
        <v>637.62000000000262</v>
      </c>
      <c r="BA11" s="24">
        <f t="shared" si="12"/>
        <v>772.04000000000087</v>
      </c>
      <c r="BB11" s="24">
        <f t="shared" si="12"/>
        <v>2169.4733333333315</v>
      </c>
      <c r="BC11" s="24">
        <f t="shared" si="12"/>
        <v>2974.0366666666632</v>
      </c>
      <c r="BD11" s="24">
        <f t="shared" si="12"/>
        <v>4078.5600000000013</v>
      </c>
      <c r="BE11" s="24">
        <f t="shared" si="12"/>
        <v>4163.1333333333314</v>
      </c>
      <c r="BF11" s="24">
        <f t="shared" si="12"/>
        <v>5096.7166666666672</v>
      </c>
      <c r="BG11" s="24">
        <f t="shared" si="12"/>
        <v>5572.1100000000006</v>
      </c>
      <c r="BH11" s="24">
        <f t="shared" si="12"/>
        <v>4537.0433333333385</v>
      </c>
      <c r="BI11" s="24">
        <f t="shared" si="12"/>
        <v>5214.4966666666605</v>
      </c>
      <c r="BJ11" s="24">
        <f t="shared" si="12"/>
        <v>5795.2799999999988</v>
      </c>
      <c r="BK11" s="24">
        <f t="shared" si="12"/>
        <v>3265.7533333333386</v>
      </c>
      <c r="BL11" s="24">
        <f t="shared" si="12"/>
        <v>3030.5166666666651</v>
      </c>
      <c r="BM11" s="24">
        <f t="shared" si="12"/>
        <v>3975.2666666666773</v>
      </c>
      <c r="BN11" s="24">
        <f t="shared" si="12"/>
        <v>593.93333333334158</v>
      </c>
      <c r="BO11" s="24">
        <f t="shared" si="12"/>
        <v>-6790.320000000007</v>
      </c>
      <c r="BP11" s="24">
        <f t="shared" si="12"/>
        <v>-5462.6533333333391</v>
      </c>
      <c r="BQ11" s="24">
        <f t="shared" si="12"/>
        <v>-3953.9166666666642</v>
      </c>
      <c r="BR11" s="24">
        <f t="shared" si="12"/>
        <v>-2083.2600000000093</v>
      </c>
      <c r="BS11" s="24">
        <f t="shared" si="12"/>
        <v>-1282.0033333333449</v>
      </c>
      <c r="BT11" s="24">
        <f t="shared" si="12"/>
        <v>961.24333333333743</v>
      </c>
      <c r="BU11" s="24">
        <f t="shared" si="12"/>
        <v>1101.3700000000099</v>
      </c>
      <c r="BV11" s="24">
        <f t="shared" si="12"/>
        <v>217.45666666667512</v>
      </c>
      <c r="BW11" s="24">
        <f t="shared" si="12"/>
        <v>2183.8233333333387</v>
      </c>
    </row>
    <row r="12" spans="1:92" x14ac:dyDescent="0.25">
      <c r="E12" s="1"/>
      <c r="F12" s="1"/>
      <c r="G12" s="1"/>
      <c r="H12" s="1"/>
      <c r="I12" s="1"/>
      <c r="N12" s="29"/>
      <c r="P12" s="17"/>
      <c r="Q12" s="22"/>
      <c r="R12" s="17"/>
      <c r="S12" s="17"/>
      <c r="T12" s="14"/>
      <c r="U12" s="16"/>
      <c r="V12" s="1"/>
      <c r="W12" s="1"/>
      <c r="Y12" s="37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</row>
    <row r="13" spans="1:92" x14ac:dyDescent="0.25">
      <c r="A13" s="36" t="s">
        <v>41</v>
      </c>
      <c r="D13" s="1" t="s">
        <v>42</v>
      </c>
      <c r="E13" s="26">
        <f>131454.02-874.11</f>
        <v>130579.90999999999</v>
      </c>
      <c r="F13" s="26">
        <f>114923.15-863.93</f>
        <v>114059.22</v>
      </c>
      <c r="G13" s="26">
        <f>105638.28-763.26</f>
        <v>104875.02</v>
      </c>
      <c r="H13" s="26">
        <f>96459.87-635.3</f>
        <v>95824.569999999992</v>
      </c>
      <c r="I13" s="26">
        <f>84954.66-635.3</f>
        <v>84319.360000000001</v>
      </c>
      <c r="J13" s="26">
        <f>74219.02-635.3</f>
        <v>73583.72</v>
      </c>
      <c r="K13" s="26">
        <f>65001.11-635.3</f>
        <v>64365.81</v>
      </c>
      <c r="L13" s="26">
        <f>53309.84-635.3</f>
        <v>52674.539999999994</v>
      </c>
      <c r="M13" s="26">
        <f>43246.5-333.8</f>
        <v>42912.7</v>
      </c>
      <c r="N13" s="49">
        <f>35416.66-20.12</f>
        <v>35396.54</v>
      </c>
      <c r="O13" s="26">
        <f>22229.83-0</f>
        <v>22229.83</v>
      </c>
      <c r="P13" s="50">
        <f>12564.2-0</f>
        <v>12564.2</v>
      </c>
      <c r="Q13" s="51">
        <f>123238.69-1297.46</f>
        <v>121941.23</v>
      </c>
      <c r="R13" s="50">
        <f>111121.5-978.17</f>
        <v>110143.33</v>
      </c>
      <c r="S13" s="50">
        <f>100976.77-959.48</f>
        <v>100017.29000000001</v>
      </c>
      <c r="T13" s="50">
        <f>90910.31-936.27</f>
        <v>89974.04</v>
      </c>
      <c r="U13" s="50">
        <f>78947.58-936.27</f>
        <v>78011.31</v>
      </c>
      <c r="V13" s="26">
        <f>70294.56-936.27</f>
        <v>69358.289999999994</v>
      </c>
      <c r="W13" s="26">
        <f>(58593.37-936.27)</f>
        <v>57657.100000000006</v>
      </c>
      <c r="X13" s="26">
        <f>(48997.75-873.18)</f>
        <v>48124.57</v>
      </c>
      <c r="Y13" s="52">
        <f>(40021.33-869.18)</f>
        <v>39152.15</v>
      </c>
      <c r="Z13" s="26">
        <f>(30611.09-697.96)</f>
        <v>29913.13</v>
      </c>
      <c r="AA13" s="26">
        <f>(20217.68-697.96)</f>
        <v>19519.72</v>
      </c>
      <c r="AB13" s="26">
        <f>(11012.82-697.96)</f>
        <v>10314.86</v>
      </c>
      <c r="AC13" s="26">
        <f>(150305.91-28054.87)</f>
        <v>122251.04000000001</v>
      </c>
      <c r="AD13" s="26">
        <f>(138221.17-28054.87)</f>
        <v>110166.30000000002</v>
      </c>
      <c r="AE13" s="26">
        <f>(128034.77-28054.87)</f>
        <v>99979.900000000009</v>
      </c>
      <c r="AF13" s="26">
        <f>(118919.15-28054.87)</f>
        <v>90864.28</v>
      </c>
      <c r="AG13" s="26">
        <f>(108842.82-28054.87)</f>
        <v>80787.950000000012</v>
      </c>
      <c r="AH13" s="26">
        <f>(99979.98-28054.87)</f>
        <v>71925.11</v>
      </c>
      <c r="AI13" s="26">
        <f>(86616.98-28054.87)</f>
        <v>58562.11</v>
      </c>
      <c r="AJ13" s="26">
        <f>(77238.59-27981.04)</f>
        <v>49257.549999999996</v>
      </c>
      <c r="AK13" s="26">
        <f>(51279.97-11709.7)</f>
        <v>39570.270000000004</v>
      </c>
      <c r="AL13" s="26">
        <f>(30585.44-1135.78)</f>
        <v>29449.66</v>
      </c>
      <c r="AM13" s="26">
        <f>(21028.39-150)</f>
        <v>20878.39</v>
      </c>
      <c r="AN13" s="9">
        <v>11098.15</v>
      </c>
      <c r="AO13" s="26">
        <f>(135067.49-23755.84)</f>
        <v>111311.65</v>
      </c>
      <c r="AP13" s="26">
        <f>(125182.71-23755.84)</f>
        <v>101426.87000000001</v>
      </c>
      <c r="AQ13" s="26">
        <f>(116596.59-23755.84)</f>
        <v>92840.75</v>
      </c>
      <c r="AR13" s="26">
        <f>(106649.09-23755.84)</f>
        <v>82893.25</v>
      </c>
      <c r="AS13" s="26">
        <f>(96846.84-23755.84)</f>
        <v>73091</v>
      </c>
      <c r="AT13" s="26">
        <f>(88425.34-23755.84)</f>
        <v>64669.5</v>
      </c>
      <c r="AU13" s="26">
        <f>(77233.86-23755.84)</f>
        <v>53478.020000000004</v>
      </c>
      <c r="AV13" s="26">
        <f>(53834.91-8057.02)</f>
        <v>45777.89</v>
      </c>
      <c r="AW13" s="26">
        <f>(44391.49-7344.94)</f>
        <v>37046.549999999996</v>
      </c>
      <c r="AX13" s="26">
        <f>(27338.65-1526.32)</f>
        <v>25812.33</v>
      </c>
      <c r="AY13" s="26">
        <f>(19258.71-1288.57)</f>
        <v>17970.14</v>
      </c>
      <c r="AZ13" s="26">
        <f>(10649.99-506.65)</f>
        <v>10143.34</v>
      </c>
      <c r="BA13" s="10">
        <v>115540.4</v>
      </c>
      <c r="BB13" s="10">
        <v>104659.05</v>
      </c>
      <c r="BC13" s="10">
        <v>95877.11</v>
      </c>
      <c r="BD13" s="10">
        <v>86530.68</v>
      </c>
      <c r="BE13" s="10">
        <v>78335.34</v>
      </c>
      <c r="BF13" s="48">
        <f>98543.87-28573.11</f>
        <v>69970.759999999995</v>
      </c>
      <c r="BG13" s="48">
        <f>68115.97-9005.62</f>
        <v>59110.35</v>
      </c>
      <c r="BH13" s="48">
        <f>51337.23-2013.16</f>
        <v>49324.07</v>
      </c>
      <c r="BI13" s="48">
        <f>41173.06-1105.92</f>
        <v>40067.14</v>
      </c>
      <c r="BJ13" s="48">
        <f>31849.6-797.94</f>
        <v>31051.66</v>
      </c>
      <c r="BK13" s="48">
        <f>21770.23-197.94</f>
        <v>21572.29</v>
      </c>
      <c r="BL13" s="48">
        <f>13700.23-197.94</f>
        <v>13502.289999999999</v>
      </c>
      <c r="BM13" s="48">
        <f>141771.38-37905.51</f>
        <v>103865.87</v>
      </c>
      <c r="BN13" s="48">
        <f>131940.21-37617.8</f>
        <v>94322.409999999989</v>
      </c>
      <c r="BO13" s="48">
        <f>123167.82-36987</f>
        <v>86180.82</v>
      </c>
      <c r="BP13" s="48">
        <f>115581.16-36987</f>
        <v>78594.16</v>
      </c>
      <c r="BQ13" s="48">
        <f>100991.76-36987</f>
        <v>64004.759999999995</v>
      </c>
      <c r="BR13" s="48">
        <f>89873.8-35301.79</f>
        <v>54572.01</v>
      </c>
      <c r="BS13" s="48">
        <f>57686.79-10566.83</f>
        <v>47119.96</v>
      </c>
      <c r="BT13" s="48">
        <f>46573.23-7698.84</f>
        <v>38874.39</v>
      </c>
      <c r="BU13" s="48">
        <f>35702.89-6835.98</f>
        <v>28866.91</v>
      </c>
      <c r="BV13" s="48">
        <f>15509.91-392.48</f>
        <v>15117.43</v>
      </c>
      <c r="BW13" s="48">
        <f>9727.03-198.3</f>
        <v>9528.7300000000014</v>
      </c>
      <c r="BX13" s="48">
        <f>165283.61-55089.91</f>
        <v>110193.69999999998</v>
      </c>
      <c r="BY13" s="48">
        <f>154985.88-55089.91</f>
        <v>99895.97</v>
      </c>
      <c r="BZ13" s="48">
        <f>147908.73-55089.91</f>
        <v>92818.82</v>
      </c>
      <c r="CA13" s="48">
        <f>137385.94-53318.11</f>
        <v>84067.83</v>
      </c>
      <c r="CB13" s="48">
        <f>129017.7-53318.11</f>
        <v>75699.59</v>
      </c>
      <c r="CC13" s="48">
        <f>120422.8-53318.11</f>
        <v>67104.69</v>
      </c>
      <c r="CD13" s="48">
        <f>110494.93-53318.11</f>
        <v>57176.819999999992</v>
      </c>
      <c r="CE13" s="48">
        <f>102406.75-52731.61</f>
        <v>49675.14</v>
      </c>
      <c r="CF13" s="48">
        <f>56305.75-17474.25</f>
        <v>38831.5</v>
      </c>
      <c r="CG13" s="48">
        <f>29627.71-1697.38</f>
        <v>27930.329999999998</v>
      </c>
      <c r="CH13" s="48">
        <f>19782.49-632.98</f>
        <v>19149.510000000002</v>
      </c>
      <c r="CI13" s="48">
        <f>9721.86-132.98</f>
        <v>9588.880000000001</v>
      </c>
    </row>
    <row r="14" spans="1:92" x14ac:dyDescent="0.25">
      <c r="A14" s="36" t="s">
        <v>38</v>
      </c>
      <c r="D14" s="1" t="s">
        <v>43</v>
      </c>
      <c r="E14" s="26">
        <f>+(165347-31090)/12*12</f>
        <v>134257</v>
      </c>
      <c r="F14" s="26">
        <f>+(165347-31090)/12*11</f>
        <v>123068.91666666667</v>
      </c>
      <c r="G14" s="26">
        <f>+(165347-31090)/12*10</f>
        <v>111880.83333333334</v>
      </c>
      <c r="H14" s="26">
        <f>+(165347-31090)/12*9</f>
        <v>100692.75</v>
      </c>
      <c r="I14" s="26">
        <f>+(165347-31090)/12*8</f>
        <v>89504.666666666672</v>
      </c>
      <c r="J14" s="26">
        <f>+(165347-31090)/12*7</f>
        <v>78316.583333333343</v>
      </c>
      <c r="K14" s="26">
        <f>+(165347-31090)/12*6</f>
        <v>67128.5</v>
      </c>
      <c r="L14" s="26">
        <f>+(165347-31090)/12*5</f>
        <v>55940.416666666672</v>
      </c>
      <c r="M14" s="26">
        <f>+(165347-31090)/12*4</f>
        <v>44752.333333333336</v>
      </c>
      <c r="N14" s="49">
        <f>+(165347-31090)/12*3</f>
        <v>33564.25</v>
      </c>
      <c r="O14" s="26">
        <f>+(165347-31090)/12*2</f>
        <v>22376.166666666668</v>
      </c>
      <c r="P14" s="50">
        <f>+(165347-31090)/12*1</f>
        <v>11188.083333333334</v>
      </c>
      <c r="Q14" s="51">
        <f>+(165347-31090)/12*12</f>
        <v>134257</v>
      </c>
      <c r="R14" s="50">
        <f>+(165347-31090)/12*11</f>
        <v>123068.91666666667</v>
      </c>
      <c r="S14" s="50">
        <f>+(165347-31090)/12*10</f>
        <v>111880.83333333334</v>
      </c>
      <c r="T14" s="50">
        <f>+(165347-31090)/12*9</f>
        <v>100692.75</v>
      </c>
      <c r="U14" s="50">
        <f>+(165347-31090)/12*8</f>
        <v>89504.666666666672</v>
      </c>
      <c r="V14" s="26">
        <f>+(165347-31090)/12*7</f>
        <v>78316.583333333343</v>
      </c>
      <c r="W14" s="26">
        <f>+(165347-31090)/12*6</f>
        <v>67128.5</v>
      </c>
      <c r="X14" s="26">
        <f>+(165347-31090)/12*5</f>
        <v>55940.416666666672</v>
      </c>
      <c r="Y14" s="52">
        <f>+(165347-31090)/12*4</f>
        <v>44752.333333333336</v>
      </c>
      <c r="Z14" s="26">
        <f>+(165347-31090)/12*3</f>
        <v>33564.25</v>
      </c>
      <c r="AA14" s="26">
        <f>+(165347-31090)/12*2</f>
        <v>22376.166666666668</v>
      </c>
      <c r="AB14" s="26">
        <f>+(165347-31090)/12*1</f>
        <v>11188.083333333334</v>
      </c>
      <c r="AC14" s="26">
        <f>+(173675-38900)/12*12</f>
        <v>134775</v>
      </c>
      <c r="AD14" s="26">
        <f>+(173675-38900)/12*11</f>
        <v>123543.75</v>
      </c>
      <c r="AE14" s="26">
        <f>+(173675-38900)/12*10</f>
        <v>112312.5</v>
      </c>
      <c r="AF14" s="26">
        <f>+(173675-38900)/12*9</f>
        <v>101081.25</v>
      </c>
      <c r="AG14" s="26">
        <f>+(173675-38900)/12*8</f>
        <v>89850</v>
      </c>
      <c r="AH14" s="26">
        <f>+(173675-38900)/12*7</f>
        <v>78618.75</v>
      </c>
      <c r="AI14" s="26">
        <f>+(173675-38900)/12*6</f>
        <v>67387.5</v>
      </c>
      <c r="AJ14" s="26">
        <f>+(173675-38900)/12*5</f>
        <v>56156.25</v>
      </c>
      <c r="AK14" s="26">
        <f>+(173675-38900)/12*4</f>
        <v>44925</v>
      </c>
      <c r="AL14" s="26">
        <f>+(173675-38900)/12*3</f>
        <v>33693.75</v>
      </c>
      <c r="AM14" s="26">
        <f>+(173675-38900)/12*2</f>
        <v>22462.5</v>
      </c>
      <c r="AN14" s="26">
        <f>+(173675-38900)/12*1</f>
        <v>11231.25</v>
      </c>
      <c r="AO14" s="26">
        <f>+(158897-34415)/12*12</f>
        <v>124482</v>
      </c>
      <c r="AP14" s="26">
        <f>+(158897-34415)/12*11</f>
        <v>114108.5</v>
      </c>
      <c r="AQ14" s="26">
        <f>+(158897-34415)/12*10</f>
        <v>103735</v>
      </c>
      <c r="AR14" s="26">
        <f>+(158897-34415)/12*9</f>
        <v>93361.5</v>
      </c>
      <c r="AS14" s="26">
        <f>+(158897-34415)/12*8</f>
        <v>82988</v>
      </c>
      <c r="AT14" s="26">
        <f>+(158897-34415)/12*7</f>
        <v>72614.5</v>
      </c>
      <c r="AU14" s="26">
        <f>+(158897-34415)/12*6</f>
        <v>62241</v>
      </c>
      <c r="AV14" s="26">
        <f>+(158897-34415)/12*5</f>
        <v>51867.5</v>
      </c>
      <c r="AW14" s="26">
        <f>+(158897-34415)/12*4</f>
        <v>41494</v>
      </c>
      <c r="AX14" s="26">
        <f>+(158897-34415)/12*3</f>
        <v>31120.5</v>
      </c>
      <c r="AY14" s="26">
        <f>+(158897-34415)/12*2</f>
        <v>20747</v>
      </c>
      <c r="AZ14" s="26">
        <f>+(158897-34415)/12</f>
        <v>10373.5</v>
      </c>
      <c r="BA14" s="48">
        <f>+(169577-41565)/12*12</f>
        <v>128012</v>
      </c>
      <c r="BB14" s="48">
        <f>+(169577-41565)/12*11</f>
        <v>117344.33333333333</v>
      </c>
      <c r="BC14" s="48">
        <f>+(169577-41565)/12*10</f>
        <v>106676.66666666666</v>
      </c>
      <c r="BD14" s="48">
        <f>+(169577-41565)/12*9</f>
        <v>96009</v>
      </c>
      <c r="BE14" s="48">
        <f>+(169577-41565)/12*8</f>
        <v>85341.333333333328</v>
      </c>
      <c r="BF14" s="48">
        <f>+(169577-41565)/12*7</f>
        <v>74673.666666666657</v>
      </c>
      <c r="BG14" s="48">
        <f>+(169577-41565)/12*6</f>
        <v>64006</v>
      </c>
      <c r="BH14" s="48">
        <f>+(169577-41565)/12*5</f>
        <v>53338.333333333328</v>
      </c>
      <c r="BI14" s="48">
        <f>+(169577-41565)/12*4</f>
        <v>42670.666666666664</v>
      </c>
      <c r="BJ14" s="48">
        <f>+(169577-41565)/12*3</f>
        <v>32003</v>
      </c>
      <c r="BK14" s="48">
        <f>+(169577-41565)/12*2</f>
        <v>21335.333333333332</v>
      </c>
      <c r="BL14" s="48">
        <f>+(169577-41565)/12</f>
        <v>10667.666666666666</v>
      </c>
      <c r="BM14" s="48">
        <f>+(171526-40275)/12*11</f>
        <v>120313.41666666667</v>
      </c>
      <c r="BN14" s="48">
        <f>+(171526-40275)/12*10</f>
        <v>109375.83333333334</v>
      </c>
      <c r="BO14" s="48">
        <f>+(171526-40275)/12*9</f>
        <v>98438.25</v>
      </c>
      <c r="BP14" s="48">
        <f>+(171526-40275)/12*8</f>
        <v>87500.666666666672</v>
      </c>
      <c r="BQ14" s="48">
        <f>+(171526-40275)/12*7</f>
        <v>76563.083333333343</v>
      </c>
      <c r="BR14" s="48">
        <f>+(171526-40275)/12*6</f>
        <v>65625.5</v>
      </c>
      <c r="BS14" s="48">
        <f>+(171526-40275)/12*5</f>
        <v>54687.916666666672</v>
      </c>
      <c r="BT14" s="48">
        <f>+(171526-40275)/12*4</f>
        <v>43750.333333333336</v>
      </c>
      <c r="BU14" s="48">
        <f>+(171526-40275)/12*3</f>
        <v>32812.75</v>
      </c>
      <c r="BV14" s="48">
        <f>+(171526-40275)/12*2</f>
        <v>21875.166666666668</v>
      </c>
      <c r="BW14" s="48">
        <f>+(171526-40275)/12</f>
        <v>10937.583333333334</v>
      </c>
      <c r="BX14" s="48">
        <f>131660/12*12</f>
        <v>131660</v>
      </c>
      <c r="BY14" s="48">
        <f>131660/12*11</f>
        <v>120688.33333333333</v>
      </c>
      <c r="BZ14" s="48">
        <f>131660/12*10</f>
        <v>109716.66666666666</v>
      </c>
      <c r="CA14" s="48">
        <f>131660/12*9</f>
        <v>98745</v>
      </c>
      <c r="CB14" s="48">
        <f>131660/12*8</f>
        <v>87773.333333333328</v>
      </c>
      <c r="CC14" s="48">
        <f>131660/12*7</f>
        <v>76801.666666666657</v>
      </c>
      <c r="CD14" s="48">
        <f>131660/12*6</f>
        <v>65830</v>
      </c>
      <c r="CE14" s="48">
        <f>131660/12*5</f>
        <v>54858.333333333328</v>
      </c>
      <c r="CF14" s="48">
        <f>131660/12*4</f>
        <v>43886.666666666664</v>
      </c>
      <c r="CG14" s="48">
        <f>131660/12*3</f>
        <v>32915</v>
      </c>
      <c r="CH14" s="48">
        <f>131660/12*2</f>
        <v>21943.333333333332</v>
      </c>
      <c r="CI14" s="48">
        <f>131660/12</f>
        <v>10971.666666666666</v>
      </c>
    </row>
    <row r="15" spans="1:92" x14ac:dyDescent="0.25">
      <c r="D15" s="1" t="s">
        <v>44</v>
      </c>
      <c r="E15" s="24">
        <f t="shared" ref="E15" si="13">+E14-E13</f>
        <v>3677.0900000000111</v>
      </c>
      <c r="F15" s="24">
        <f t="shared" ref="F15:G15" si="14">+F14-F13</f>
        <v>9009.6966666666704</v>
      </c>
      <c r="G15" s="24">
        <f t="shared" si="14"/>
        <v>7005.813333333339</v>
      </c>
      <c r="H15" s="24">
        <f t="shared" ref="H15:CI15" si="15">+H14-H13</f>
        <v>4868.1800000000076</v>
      </c>
      <c r="I15" s="24">
        <f t="shared" si="15"/>
        <v>5185.3066666666709</v>
      </c>
      <c r="J15" s="24">
        <f t="shared" si="15"/>
        <v>4732.8633333333419</v>
      </c>
      <c r="K15" s="24">
        <f t="shared" si="15"/>
        <v>2762.6900000000023</v>
      </c>
      <c r="L15" s="24">
        <f t="shared" si="15"/>
        <v>3265.8766666666779</v>
      </c>
      <c r="M15" s="24">
        <f t="shared" si="15"/>
        <v>1839.6333333333387</v>
      </c>
      <c r="N15" s="42">
        <f t="shared" si="15"/>
        <v>-1832.2900000000009</v>
      </c>
      <c r="O15" s="24">
        <f t="shared" si="15"/>
        <v>146.33666666666613</v>
      </c>
      <c r="P15" s="24">
        <f t="shared" si="15"/>
        <v>-1376.1166666666668</v>
      </c>
      <c r="Q15" s="65">
        <f t="shared" si="15"/>
        <v>12315.770000000004</v>
      </c>
      <c r="R15" s="24">
        <f t="shared" si="15"/>
        <v>12925.58666666667</v>
      </c>
      <c r="S15" s="24">
        <f t="shared" si="15"/>
        <v>11863.543333333335</v>
      </c>
      <c r="T15" s="24">
        <f t="shared" si="15"/>
        <v>10718.710000000006</v>
      </c>
      <c r="U15" s="24">
        <f t="shared" si="15"/>
        <v>11493.356666666674</v>
      </c>
      <c r="V15" s="42">
        <f t="shared" si="15"/>
        <v>8958.2933333333494</v>
      </c>
      <c r="W15" s="24">
        <f t="shared" si="15"/>
        <v>9471.3999999999942</v>
      </c>
      <c r="X15" s="24">
        <f t="shared" si="15"/>
        <v>7815.8466666666718</v>
      </c>
      <c r="Y15" s="43">
        <f t="shared" si="15"/>
        <v>5600.1833333333343</v>
      </c>
      <c r="Z15" s="24">
        <f t="shared" si="15"/>
        <v>3651.119999999999</v>
      </c>
      <c r="AA15" s="24">
        <f t="shared" si="15"/>
        <v>2856.4466666666667</v>
      </c>
      <c r="AB15" s="24">
        <f t="shared" si="15"/>
        <v>873.22333333333336</v>
      </c>
      <c r="AC15" s="24">
        <f t="shared" si="15"/>
        <v>12523.959999999992</v>
      </c>
      <c r="AD15" s="24">
        <f t="shared" si="15"/>
        <v>13377.449999999983</v>
      </c>
      <c r="AE15" s="24">
        <f t="shared" si="15"/>
        <v>12332.599999999991</v>
      </c>
      <c r="AF15" s="24">
        <f t="shared" si="15"/>
        <v>10216.970000000001</v>
      </c>
      <c r="AG15" s="24">
        <f t="shared" si="15"/>
        <v>9062.0499999999884</v>
      </c>
      <c r="AH15" s="24">
        <f t="shared" si="15"/>
        <v>6693.6399999999994</v>
      </c>
      <c r="AI15" s="24">
        <f t="shared" si="15"/>
        <v>8825.39</v>
      </c>
      <c r="AJ15" s="24">
        <f t="shared" si="15"/>
        <v>6898.7000000000044</v>
      </c>
      <c r="AK15" s="24">
        <f t="shared" si="15"/>
        <v>5354.7299999999959</v>
      </c>
      <c r="AL15" s="24">
        <f t="shared" si="15"/>
        <v>4244.09</v>
      </c>
      <c r="AM15" s="24">
        <f t="shared" si="15"/>
        <v>1584.1100000000006</v>
      </c>
      <c r="AN15" s="24">
        <f t="shared" si="15"/>
        <v>133.10000000000036</v>
      </c>
      <c r="AO15" s="24">
        <f t="shared" si="15"/>
        <v>13170.350000000006</v>
      </c>
      <c r="AP15" s="24">
        <f t="shared" si="15"/>
        <v>12681.62999999999</v>
      </c>
      <c r="AQ15" s="24">
        <f t="shared" si="15"/>
        <v>10894.25</v>
      </c>
      <c r="AR15" s="24">
        <f t="shared" si="15"/>
        <v>10468.25</v>
      </c>
      <c r="AS15" s="24">
        <f t="shared" si="15"/>
        <v>9897</v>
      </c>
      <c r="AT15" s="24">
        <f t="shared" si="15"/>
        <v>7945</v>
      </c>
      <c r="AU15" s="24">
        <f t="shared" si="15"/>
        <v>8762.9799999999959</v>
      </c>
      <c r="AV15" s="24">
        <f t="shared" si="15"/>
        <v>6089.6100000000006</v>
      </c>
      <c r="AW15" s="24">
        <f t="shared" si="15"/>
        <v>4447.4500000000044</v>
      </c>
      <c r="AX15" s="24">
        <f t="shared" si="15"/>
        <v>5308.1699999999983</v>
      </c>
      <c r="AY15" s="24">
        <f t="shared" si="15"/>
        <v>2776.8600000000006</v>
      </c>
      <c r="AZ15" s="24">
        <f t="shared" si="15"/>
        <v>230.15999999999985</v>
      </c>
      <c r="BA15" s="24">
        <f t="shared" si="15"/>
        <v>12471.600000000006</v>
      </c>
      <c r="BB15" s="24">
        <f t="shared" si="15"/>
        <v>12685.283333333326</v>
      </c>
      <c r="BC15" s="24">
        <f t="shared" si="15"/>
        <v>10799.556666666656</v>
      </c>
      <c r="BD15" s="24">
        <f t="shared" si="15"/>
        <v>9478.320000000007</v>
      </c>
      <c r="BE15" s="24">
        <f t="shared" si="15"/>
        <v>7005.993333333332</v>
      </c>
      <c r="BF15" s="24">
        <f t="shared" si="15"/>
        <v>4702.9066666666622</v>
      </c>
      <c r="BG15" s="24">
        <f t="shared" si="15"/>
        <v>4895.6500000000015</v>
      </c>
      <c r="BH15" s="24">
        <f t="shared" si="15"/>
        <v>4014.2633333333288</v>
      </c>
      <c r="BI15" s="24">
        <f t="shared" si="15"/>
        <v>2603.5266666666648</v>
      </c>
      <c r="BJ15" s="24">
        <f t="shared" si="15"/>
        <v>951.34000000000015</v>
      </c>
      <c r="BK15" s="24">
        <f t="shared" si="15"/>
        <v>-236.95666666666875</v>
      </c>
      <c r="BL15" s="24">
        <f t="shared" si="15"/>
        <v>-2834.623333333333</v>
      </c>
      <c r="BM15" s="24">
        <f t="shared" si="15"/>
        <v>16447.546666666676</v>
      </c>
      <c r="BN15" s="24">
        <f t="shared" si="15"/>
        <v>15053.423333333354</v>
      </c>
      <c r="BO15" s="24">
        <f t="shared" si="15"/>
        <v>12257.429999999993</v>
      </c>
      <c r="BP15" s="24">
        <f t="shared" si="15"/>
        <v>8906.506666666668</v>
      </c>
      <c r="BQ15" s="24">
        <f t="shared" si="15"/>
        <v>12558.323333333348</v>
      </c>
      <c r="BR15" s="24">
        <f t="shared" si="15"/>
        <v>11053.489999999998</v>
      </c>
      <c r="BS15" s="24">
        <f t="shared" si="15"/>
        <v>7567.9566666666724</v>
      </c>
      <c r="BT15" s="24">
        <f t="shared" si="15"/>
        <v>4875.9433333333363</v>
      </c>
      <c r="BU15" s="24">
        <f t="shared" si="15"/>
        <v>3945.84</v>
      </c>
      <c r="BV15" s="24">
        <f t="shared" si="15"/>
        <v>6757.7366666666676</v>
      </c>
      <c r="BW15" s="24">
        <f t="shared" si="15"/>
        <v>1408.8533333333326</v>
      </c>
      <c r="BX15" s="24">
        <f t="shared" si="15"/>
        <v>21466.300000000017</v>
      </c>
      <c r="BY15" s="24">
        <f t="shared" si="15"/>
        <v>20792.363333333327</v>
      </c>
      <c r="BZ15" s="24">
        <f t="shared" si="15"/>
        <v>16897.84666666665</v>
      </c>
      <c r="CA15" s="24">
        <f t="shared" si="15"/>
        <v>14677.169999999998</v>
      </c>
      <c r="CB15" s="24">
        <f t="shared" si="15"/>
        <v>12073.743333333332</v>
      </c>
      <c r="CC15" s="24">
        <f t="shared" si="15"/>
        <v>9696.9766666666546</v>
      </c>
      <c r="CD15" s="24">
        <f t="shared" si="15"/>
        <v>8653.1800000000076</v>
      </c>
      <c r="CE15" s="24">
        <f t="shared" si="15"/>
        <v>5183.1933333333291</v>
      </c>
      <c r="CF15" s="24">
        <f t="shared" si="15"/>
        <v>5055.1666666666642</v>
      </c>
      <c r="CG15" s="24">
        <f t="shared" si="15"/>
        <v>4984.6700000000019</v>
      </c>
      <c r="CH15" s="24">
        <f t="shared" si="15"/>
        <v>2793.8233333333301</v>
      </c>
      <c r="CI15" s="24">
        <f t="shared" si="15"/>
        <v>1382.786666666665</v>
      </c>
    </row>
    <row r="16" spans="1:92" x14ac:dyDescent="0.25">
      <c r="E16" s="1"/>
      <c r="F16" s="1"/>
      <c r="G16" s="1"/>
      <c r="H16" s="1"/>
      <c r="I16" s="1"/>
      <c r="N16" s="29"/>
      <c r="P16" s="17"/>
      <c r="Q16" s="22"/>
      <c r="R16" s="17"/>
      <c r="S16" s="17"/>
      <c r="T16" s="14"/>
      <c r="U16" s="16"/>
      <c r="V16" s="1"/>
      <c r="W16" s="1"/>
      <c r="Y16" s="37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</row>
    <row r="17" spans="1:87" x14ac:dyDescent="0.25">
      <c r="A17" s="1" t="s">
        <v>45</v>
      </c>
      <c r="D17" s="1" t="s">
        <v>46</v>
      </c>
      <c r="E17" s="27">
        <f t="shared" ref="E17" si="16">+E15+E7+E11</f>
        <v>13323.100000000006</v>
      </c>
      <c r="F17" s="27">
        <f t="shared" ref="F17:G17" si="17">+F15+F7+F11</f>
        <v>16946.233333333348</v>
      </c>
      <c r="G17" s="27">
        <f t="shared" si="17"/>
        <v>14353.186666666683</v>
      </c>
      <c r="H17" s="27">
        <f t="shared" ref="H17:BW17" si="18">+H15+H7+H11</f>
        <v>5994.4000000000087</v>
      </c>
      <c r="I17" s="27">
        <f t="shared" si="18"/>
        <v>2440.2033333333347</v>
      </c>
      <c r="J17" s="27">
        <f t="shared" si="18"/>
        <v>1053.0766666666805</v>
      </c>
      <c r="K17" s="27">
        <f t="shared" si="18"/>
        <v>-1196.0699999999924</v>
      </c>
      <c r="L17" s="27">
        <f t="shared" si="18"/>
        <v>-1004.6266666666525</v>
      </c>
      <c r="M17" s="27">
        <f t="shared" si="18"/>
        <v>-4213.643333333328</v>
      </c>
      <c r="N17" s="54">
        <f t="shared" si="18"/>
        <v>-7752.2800000000061</v>
      </c>
      <c r="O17" s="27">
        <f t="shared" si="18"/>
        <v>-8619.1966666666631</v>
      </c>
      <c r="P17" s="27">
        <f t="shared" si="18"/>
        <v>-10903.053333333337</v>
      </c>
      <c r="Q17" s="55">
        <f t="shared" si="18"/>
        <v>16214.201428571429</v>
      </c>
      <c r="R17" s="27">
        <f t="shared" si="18"/>
        <v>15068.000476190478</v>
      </c>
      <c r="S17" s="27">
        <f t="shared" si="18"/>
        <v>13843.749523809525</v>
      </c>
      <c r="T17" s="27">
        <f t="shared" si="18"/>
        <v>8660.2100000000064</v>
      </c>
      <c r="U17" s="27">
        <f t="shared" si="18"/>
        <v>5978.1990476190585</v>
      </c>
      <c r="V17" s="27">
        <f t="shared" si="18"/>
        <v>897.27238095240136</v>
      </c>
      <c r="W17" s="27">
        <f t="shared" si="18"/>
        <v>1204.1199999999953</v>
      </c>
      <c r="X17" s="27">
        <f t="shared" si="18"/>
        <v>368.0033333333522</v>
      </c>
      <c r="Y17" s="56">
        <f t="shared" si="18"/>
        <v>-1393.3933333333352</v>
      </c>
      <c r="Z17" s="27">
        <f t="shared" si="18"/>
        <v>-2305.9400000000023</v>
      </c>
      <c r="AA17" s="27">
        <f t="shared" si="18"/>
        <v>-1956.9766666666628</v>
      </c>
      <c r="AB17" s="27">
        <f t="shared" si="18"/>
        <v>-986.34333333332734</v>
      </c>
      <c r="AC17" s="27">
        <f t="shared" si="18"/>
        <v>-1152.8199999999888</v>
      </c>
      <c r="AD17" s="27">
        <f t="shared" si="18"/>
        <v>1302.8175757575591</v>
      </c>
      <c r="AE17" s="27">
        <f t="shared" si="18"/>
        <v>1014.4033333333427</v>
      </c>
      <c r="AF17" s="27">
        <f t="shared" si="18"/>
        <v>-242.6933333333327</v>
      </c>
      <c r="AG17" s="27">
        <f t="shared" si="18"/>
        <v>-588.38333333333503</v>
      </c>
      <c r="AH17" s="27">
        <f t="shared" si="18"/>
        <v>-2494.6452380952451</v>
      </c>
      <c r="AI17" s="27">
        <f t="shared" si="18"/>
        <v>629.36000000000422</v>
      </c>
      <c r="AJ17" s="27">
        <f t="shared" si="18"/>
        <v>-431.77333333333081</v>
      </c>
      <c r="AK17" s="27">
        <f t="shared" si="18"/>
        <v>-415.62666666667246</v>
      </c>
      <c r="AL17" s="27">
        <f t="shared" si="18"/>
        <v>-1020.8399999999965</v>
      </c>
      <c r="AM17" s="27">
        <f t="shared" si="18"/>
        <v>-3258.7233333333324</v>
      </c>
      <c r="AN17" s="27">
        <f t="shared" si="18"/>
        <v>-4532.8166666666657</v>
      </c>
      <c r="AO17" s="27">
        <f t="shared" si="18"/>
        <v>11684.929999999989</v>
      </c>
      <c r="AP17" s="27">
        <f t="shared" si="18"/>
        <v>11599.576363636354</v>
      </c>
      <c r="AQ17" s="27">
        <f t="shared" si="18"/>
        <v>10191.159999999989</v>
      </c>
      <c r="AR17" s="27">
        <f t="shared" si="18"/>
        <v>8292.9833333333318</v>
      </c>
      <c r="AS17" s="27">
        <f t="shared" si="18"/>
        <v>6203.359999999986</v>
      </c>
      <c r="AT17" s="27">
        <f t="shared" si="18"/>
        <v>4735.1799999999912</v>
      </c>
      <c r="AU17" s="27">
        <f t="shared" si="18"/>
        <v>5633.7499999999891</v>
      </c>
      <c r="AV17" s="27">
        <f t="shared" si="18"/>
        <v>3507.9899999999975</v>
      </c>
      <c r="AW17" s="27">
        <f t="shared" si="18"/>
        <v>750.90000000000146</v>
      </c>
      <c r="AX17" s="27">
        <f t="shared" si="18"/>
        <v>1411.2400000000021</v>
      </c>
      <c r="AY17" s="27">
        <f t="shared" si="18"/>
        <v>-723.47000000000116</v>
      </c>
      <c r="AZ17" s="27">
        <f t="shared" si="18"/>
        <v>-2156.2199999999975</v>
      </c>
      <c r="BA17" s="27">
        <f t="shared" si="18"/>
        <v>9155.6400000000103</v>
      </c>
      <c r="BB17" s="27">
        <f t="shared" si="18"/>
        <v>10807.483939393935</v>
      </c>
      <c r="BC17" s="27">
        <f t="shared" si="18"/>
        <v>9791.9933333333211</v>
      </c>
      <c r="BD17" s="27">
        <f t="shared" si="18"/>
        <v>9580.8800000000047</v>
      </c>
      <c r="BE17" s="27">
        <f t="shared" si="18"/>
        <v>7095.1266666666634</v>
      </c>
      <c r="BF17" s="27">
        <f t="shared" si="18"/>
        <v>5815.6233333333275</v>
      </c>
      <c r="BG17" s="27">
        <f t="shared" si="18"/>
        <v>6407.7599999999984</v>
      </c>
      <c r="BH17" s="27">
        <f t="shared" si="18"/>
        <v>4384.9066666666658</v>
      </c>
      <c r="BI17" s="27">
        <f t="shared" si="18"/>
        <v>3660.0233333333254</v>
      </c>
      <c r="BJ17" s="27">
        <f t="shared" si="18"/>
        <v>2602.6199999999953</v>
      </c>
      <c r="BK17" s="27">
        <f t="shared" si="18"/>
        <v>-1339.2033333333302</v>
      </c>
      <c r="BL17" s="27">
        <f t="shared" si="18"/>
        <v>-3836.1066666666679</v>
      </c>
      <c r="BM17" s="27">
        <f t="shared" si="18"/>
        <v>17322.449696969721</v>
      </c>
      <c r="BN17" s="27">
        <f t="shared" si="18"/>
        <v>12404.956666666694</v>
      </c>
      <c r="BO17" s="27">
        <f t="shared" si="18"/>
        <v>2144.44333333332</v>
      </c>
      <c r="BP17" s="27">
        <f t="shared" si="18"/>
        <v>125.85333333332892</v>
      </c>
      <c r="BQ17" s="27">
        <f t="shared" si="18"/>
        <v>5340.4066666666804</v>
      </c>
      <c r="BR17" s="27">
        <f t="shared" si="18"/>
        <v>6002.229999999985</v>
      </c>
      <c r="BS17" s="27">
        <f t="shared" si="18"/>
        <v>3429.9533333333275</v>
      </c>
      <c r="BT17" s="27">
        <f t="shared" si="18"/>
        <v>2939.1866666666738</v>
      </c>
      <c r="BU17" s="27">
        <f t="shared" si="18"/>
        <v>2303.2100000000132</v>
      </c>
      <c r="BV17" s="27">
        <f t="shared" si="18"/>
        <v>4287.1933333333427</v>
      </c>
      <c r="BW17" s="27">
        <f t="shared" si="18"/>
        <v>1576.6766666666713</v>
      </c>
      <c r="BX17" s="27">
        <f t="shared" ref="BX17:CI17" si="19">+BX15+BX7</f>
        <v>16823.390909090929</v>
      </c>
      <c r="BY17" s="27">
        <f t="shared" si="19"/>
        <v>16149.454242424239</v>
      </c>
      <c r="BZ17" s="27">
        <f t="shared" si="19"/>
        <v>12160.246666666651</v>
      </c>
      <c r="CA17" s="27">
        <f t="shared" si="19"/>
        <v>9842.5033333333322</v>
      </c>
      <c r="CB17" s="27">
        <f t="shared" si="19"/>
        <v>7159.743333333332</v>
      </c>
      <c r="CC17" s="27">
        <f t="shared" si="19"/>
        <v>4728.9766666666574</v>
      </c>
      <c r="CD17" s="27">
        <f t="shared" si="19"/>
        <v>3641.1800000000112</v>
      </c>
      <c r="CE17" s="27">
        <f t="shared" si="19"/>
        <v>176.79333333332761</v>
      </c>
      <c r="CF17" s="27">
        <f t="shared" si="19"/>
        <v>141.16666666666424</v>
      </c>
      <c r="CG17" s="27">
        <f t="shared" si="19"/>
        <v>-559.32999999999811</v>
      </c>
      <c r="CH17" s="27">
        <f t="shared" si="19"/>
        <v>-1658.1766666666699</v>
      </c>
      <c r="CI17" s="27">
        <f t="shared" si="19"/>
        <v>-2145.213333333335</v>
      </c>
    </row>
    <row r="18" spans="1:87" x14ac:dyDescent="0.25">
      <c r="E18" s="1"/>
      <c r="F18" s="1"/>
      <c r="G18" s="1"/>
      <c r="H18" s="1"/>
      <c r="I18" s="1"/>
      <c r="N18" s="29"/>
      <c r="P18" s="17"/>
      <c r="Q18" s="22"/>
      <c r="R18" s="17"/>
      <c r="S18" s="17"/>
      <c r="T18" s="14"/>
      <c r="U18" s="16"/>
      <c r="V18" s="1"/>
      <c r="W18" s="1"/>
      <c r="Y18" s="37"/>
    </row>
    <row r="19" spans="1:87" x14ac:dyDescent="0.25">
      <c r="A19" s="36" t="s">
        <v>47</v>
      </c>
      <c r="D19" s="1" t="s">
        <v>48</v>
      </c>
      <c r="E19" s="26">
        <v>227223.46</v>
      </c>
      <c r="F19" s="26">
        <v>222291.28</v>
      </c>
      <c r="G19" s="26">
        <v>222964.41</v>
      </c>
      <c r="H19" s="26">
        <v>220065.09</v>
      </c>
      <c r="I19" s="26">
        <v>219445.58</v>
      </c>
      <c r="J19" s="9">
        <v>221905.46</v>
      </c>
      <c r="K19" s="26">
        <v>221376.32</v>
      </c>
      <c r="L19" s="26">
        <v>226540.87</v>
      </c>
      <c r="M19" s="26">
        <v>228537.46</v>
      </c>
      <c r="N19" s="49">
        <v>218238.76</v>
      </c>
      <c r="O19" s="26">
        <v>217631.22</v>
      </c>
      <c r="P19" s="50">
        <v>215799.79</v>
      </c>
      <c r="Q19" s="51">
        <v>213717.5</v>
      </c>
      <c r="R19" s="50">
        <v>200455.16</v>
      </c>
      <c r="S19" s="50">
        <v>199174.08</v>
      </c>
      <c r="T19" s="18">
        <v>198871.91</v>
      </c>
      <c r="U19" s="18">
        <v>201633.03</v>
      </c>
      <c r="V19" s="26">
        <v>198427.36</v>
      </c>
      <c r="W19" s="9">
        <v>201764.75</v>
      </c>
      <c r="X19" s="9">
        <v>204090.18</v>
      </c>
      <c r="Y19" s="11">
        <v>204811.16</v>
      </c>
      <c r="Z19" s="9">
        <v>207426.69</v>
      </c>
      <c r="AA19" s="9">
        <v>208671.66</v>
      </c>
      <c r="AB19" s="9">
        <v>205831.41</v>
      </c>
      <c r="AC19" s="9">
        <v>196400.27</v>
      </c>
      <c r="AD19" s="9">
        <v>183372.72</v>
      </c>
      <c r="AE19" s="9">
        <v>187318.57</v>
      </c>
      <c r="AF19" s="9">
        <v>192689.72</v>
      </c>
      <c r="AG19" s="9">
        <v>196488.25</v>
      </c>
      <c r="AH19" s="9">
        <v>199939.96</v>
      </c>
      <c r="AI19" s="9">
        <v>206509.62</v>
      </c>
      <c r="AJ19" s="9">
        <v>208026.37</v>
      </c>
      <c r="AK19" s="9">
        <v>226589.55</v>
      </c>
      <c r="AL19" s="9">
        <v>236966</v>
      </c>
      <c r="AM19" s="9">
        <v>216536.92</v>
      </c>
      <c r="AN19" s="9">
        <v>208852.88</v>
      </c>
      <c r="AO19" s="9">
        <v>208084.34</v>
      </c>
      <c r="AP19" s="9">
        <v>190910.57</v>
      </c>
      <c r="AQ19" s="9">
        <v>195109.54</v>
      </c>
      <c r="AR19" s="9">
        <v>196661.4</v>
      </c>
      <c r="AS19" s="9">
        <v>198062.31</v>
      </c>
      <c r="AT19" s="9">
        <v>201360.67</v>
      </c>
      <c r="AU19" s="9">
        <v>205295.41</v>
      </c>
      <c r="AV19" s="9">
        <v>222436.86</v>
      </c>
      <c r="AW19" s="9">
        <v>223214.74</v>
      </c>
      <c r="AX19" s="9">
        <v>225441.26</v>
      </c>
      <c r="AY19" s="9">
        <v>200070.68</v>
      </c>
      <c r="AZ19" s="9">
        <v>190292.37</v>
      </c>
      <c r="BA19" s="25">
        <v>183451.03</v>
      </c>
      <c r="BB19" s="25">
        <v>165527.87</v>
      </c>
      <c r="BC19" s="25">
        <v>169705.41</v>
      </c>
      <c r="BD19" s="25">
        <v>171598.07</v>
      </c>
      <c r="BE19" s="25">
        <v>171675.05</v>
      </c>
      <c r="BF19" s="10">
        <v>174179.87</v>
      </c>
      <c r="BG19" s="10">
        <v>196037.68</v>
      </c>
      <c r="BH19" s="10">
        <v>201222.8</v>
      </c>
      <c r="BI19" s="10">
        <v>199351.59</v>
      </c>
      <c r="BJ19" s="10">
        <v>182578.38</v>
      </c>
      <c r="BK19" s="10">
        <v>172974.49</v>
      </c>
      <c r="BL19" s="10">
        <v>168857.21</v>
      </c>
      <c r="BM19" s="10">
        <v>138236.38</v>
      </c>
      <c r="BN19" s="10">
        <v>139914.1</v>
      </c>
      <c r="BO19" s="10">
        <v>136897.97</v>
      </c>
      <c r="BP19" s="10">
        <v>133154.15</v>
      </c>
      <c r="BQ19" s="10">
        <v>141056.29</v>
      </c>
      <c r="BR19" s="10">
        <v>146472.87</v>
      </c>
      <c r="BS19" s="10">
        <v>171294.25</v>
      </c>
      <c r="BT19" s="10">
        <v>171543.28</v>
      </c>
      <c r="BU19" s="10">
        <v>155924.75</v>
      </c>
      <c r="BV19" s="10">
        <v>154498.1</v>
      </c>
      <c r="BW19" s="10">
        <v>152371.14000000001</v>
      </c>
      <c r="BX19" s="10">
        <v>120388.32</v>
      </c>
      <c r="BY19" s="10">
        <v>99920.19</v>
      </c>
      <c r="BZ19" s="10">
        <v>101238.88</v>
      </c>
      <c r="CA19" s="10">
        <v>105639.09</v>
      </c>
      <c r="CB19" s="10">
        <v>108992.54</v>
      </c>
      <c r="CC19" s="10">
        <v>112437.44</v>
      </c>
      <c r="CD19" s="10">
        <v>113633.69</v>
      </c>
      <c r="CE19" s="10">
        <v>115805.19</v>
      </c>
      <c r="CF19" s="10">
        <v>157672.74</v>
      </c>
      <c r="CG19" s="10">
        <v>164947.21</v>
      </c>
      <c r="CH19" s="10">
        <v>154575.5</v>
      </c>
      <c r="CI19" s="10">
        <v>151253.48000000001</v>
      </c>
    </row>
    <row r="20" spans="1:87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9">
        <v>-49286.32</v>
      </c>
      <c r="K20" s="26">
        <v>-49286.32</v>
      </c>
      <c r="L20" s="26">
        <v>-49286.32</v>
      </c>
      <c r="M20" s="26">
        <v>-49286.32</v>
      </c>
      <c r="N20" s="49">
        <v>-49286.32</v>
      </c>
      <c r="O20" s="26">
        <v>-49286.32</v>
      </c>
      <c r="P20" s="50">
        <v>-49286.32</v>
      </c>
      <c r="Q20" s="51">
        <v>-49286.32</v>
      </c>
      <c r="R20" s="50">
        <v>-49286.32</v>
      </c>
      <c r="S20" s="50">
        <v>-49286.32</v>
      </c>
      <c r="T20" s="18">
        <v>-49286.32</v>
      </c>
      <c r="U20" s="18">
        <v>-49286.32</v>
      </c>
      <c r="V20" s="26">
        <v>-49286.32</v>
      </c>
      <c r="W20" s="9">
        <v>-49286.32</v>
      </c>
      <c r="X20" s="9">
        <v>-52772.84</v>
      </c>
      <c r="Y20" s="11">
        <v>-52772.84</v>
      </c>
      <c r="Z20" s="9">
        <v>-52772.84</v>
      </c>
      <c r="AA20" s="9">
        <v>-52772.84</v>
      </c>
      <c r="AB20" s="9">
        <v>-52772.84</v>
      </c>
      <c r="AC20" s="9">
        <v>-49435.3</v>
      </c>
      <c r="AD20" s="9">
        <v>-49435.3</v>
      </c>
      <c r="AE20" s="9">
        <v>-49435.3</v>
      </c>
      <c r="AF20" s="9">
        <v>-49435.3</v>
      </c>
      <c r="AG20" s="9">
        <v>-49435.3</v>
      </c>
      <c r="AH20" s="9">
        <v>-49435.3</v>
      </c>
      <c r="AI20" s="9">
        <v>-49435.3</v>
      </c>
      <c r="AJ20" s="9">
        <v>-49435.3</v>
      </c>
      <c r="AK20" s="9">
        <v>-49435.3</v>
      </c>
      <c r="AL20" s="9">
        <v>-49435.3</v>
      </c>
      <c r="AM20" s="9">
        <v>-49435.3</v>
      </c>
      <c r="AN20" s="9">
        <v>-49435.3</v>
      </c>
      <c r="AO20" s="9">
        <v>-49532.62</v>
      </c>
      <c r="AP20" s="9">
        <v>-49532.62</v>
      </c>
      <c r="AQ20" s="9">
        <v>-49532.62</v>
      </c>
      <c r="AR20" s="9">
        <v>-49532.62</v>
      </c>
      <c r="AS20" s="9">
        <v>-49532.62</v>
      </c>
      <c r="AT20" s="9">
        <v>-49532.62</v>
      </c>
      <c r="AU20" s="9">
        <v>-49532.62</v>
      </c>
      <c r="AV20" s="9">
        <v>-49532.62</v>
      </c>
      <c r="AW20" s="9">
        <v>-49532.62</v>
      </c>
      <c r="AX20" s="9">
        <v>-49532.62</v>
      </c>
      <c r="AY20" s="9">
        <v>-49532.62</v>
      </c>
      <c r="AZ20" s="9">
        <v>-49532.62</v>
      </c>
      <c r="BA20" s="26">
        <v>-50647.44</v>
      </c>
      <c r="BB20" s="26">
        <v>-48110.63</v>
      </c>
      <c r="BC20" s="26">
        <v>-47041.58</v>
      </c>
      <c r="BD20" s="26">
        <v>-47041.58</v>
      </c>
      <c r="BE20" s="26">
        <v>-47041.58</v>
      </c>
      <c r="BF20" s="10">
        <v>-47041.58</v>
      </c>
      <c r="BG20" s="10">
        <v>-47041.58</v>
      </c>
      <c r="BH20" s="10">
        <v>-47041.58</v>
      </c>
      <c r="BI20" s="10">
        <v>-47041.58</v>
      </c>
      <c r="BJ20" s="10">
        <v>-47041.58</v>
      </c>
      <c r="BK20" s="10">
        <v>-47041.58</v>
      </c>
      <c r="BL20" s="10">
        <v>-47041.58</v>
      </c>
      <c r="BM20" s="10">
        <v>-46210.35</v>
      </c>
      <c r="BN20" s="10">
        <v>-46210.35</v>
      </c>
      <c r="BO20" s="10">
        <v>-46210.35</v>
      </c>
      <c r="BP20" s="10">
        <v>-46210.35</v>
      </c>
      <c r="BQ20" s="10">
        <v>-46210.35</v>
      </c>
      <c r="BR20" s="10">
        <v>-46210.35</v>
      </c>
      <c r="BS20" s="10">
        <v>-46210.35</v>
      </c>
      <c r="BT20" s="10">
        <v>-46210.35</v>
      </c>
      <c r="BU20" s="10">
        <v>-46210.35</v>
      </c>
      <c r="BV20" s="10">
        <v>-46210.35</v>
      </c>
      <c r="BW20" s="10">
        <v>-46210.35</v>
      </c>
      <c r="BX20" s="10">
        <v>-47919.53</v>
      </c>
      <c r="BY20" s="10">
        <v>-47919.53</v>
      </c>
      <c r="BZ20" s="10">
        <v>-47919.53</v>
      </c>
      <c r="CA20" s="10">
        <v>-47919.53</v>
      </c>
      <c r="CB20" s="10">
        <v>-47919.53</v>
      </c>
      <c r="CC20" s="10">
        <v>-47919.53</v>
      </c>
      <c r="CD20" s="10">
        <v>-47919.53</v>
      </c>
      <c r="CE20" s="10">
        <v>-47919.53</v>
      </c>
      <c r="CF20" s="10">
        <v>-47919.53</v>
      </c>
      <c r="CG20" s="10">
        <v>-47919.53</v>
      </c>
      <c r="CH20" s="10">
        <v>-47919.53</v>
      </c>
      <c r="CI20" s="10">
        <v>-47919.53</v>
      </c>
    </row>
    <row r="21" spans="1:87" ht="15.75" customHeight="1" x14ac:dyDescent="0.25">
      <c r="A21" s="1" t="s">
        <v>45</v>
      </c>
      <c r="E21" s="28">
        <f t="shared" ref="E21" si="20">SUM(E19:E20)</f>
        <v>177937.13999999998</v>
      </c>
      <c r="F21" s="28">
        <f t="shared" ref="F21:G21" si="21">SUM(F19:F20)</f>
        <v>173004.96</v>
      </c>
      <c r="G21" s="28">
        <f t="shared" si="21"/>
        <v>173678.09</v>
      </c>
      <c r="H21" s="28">
        <f t="shared" ref="H21:CI21" si="22">SUM(H19:H20)</f>
        <v>170778.77</v>
      </c>
      <c r="I21" s="28">
        <f t="shared" si="22"/>
        <v>170159.25999999998</v>
      </c>
      <c r="J21" s="28">
        <f t="shared" si="22"/>
        <v>172619.13999999998</v>
      </c>
      <c r="K21" s="28">
        <f t="shared" si="22"/>
        <v>172090</v>
      </c>
      <c r="L21" s="28">
        <f t="shared" si="22"/>
        <v>177254.55</v>
      </c>
      <c r="M21" s="28">
        <f t="shared" si="22"/>
        <v>179251.13999999998</v>
      </c>
      <c r="N21" s="57">
        <f t="shared" si="22"/>
        <v>168952.44</v>
      </c>
      <c r="O21" s="28">
        <f t="shared" si="22"/>
        <v>168344.9</v>
      </c>
      <c r="P21" s="28">
        <f t="shared" si="22"/>
        <v>166513.47</v>
      </c>
      <c r="Q21" s="66">
        <f t="shared" si="22"/>
        <v>164431.18</v>
      </c>
      <c r="R21" s="28">
        <f t="shared" si="22"/>
        <v>151168.84</v>
      </c>
      <c r="S21" s="28">
        <f t="shared" si="22"/>
        <v>149887.75999999998</v>
      </c>
      <c r="T21" s="28">
        <f t="shared" si="22"/>
        <v>149585.59</v>
      </c>
      <c r="U21" s="28">
        <f t="shared" si="22"/>
        <v>152346.71</v>
      </c>
      <c r="V21" s="57">
        <f t="shared" si="22"/>
        <v>149141.03999999998</v>
      </c>
      <c r="W21" s="28">
        <f t="shared" si="22"/>
        <v>152478.43</v>
      </c>
      <c r="X21" s="28">
        <f t="shared" si="22"/>
        <v>151317.34</v>
      </c>
      <c r="Y21" s="58">
        <f t="shared" si="22"/>
        <v>152038.32</v>
      </c>
      <c r="Z21" s="28">
        <f t="shared" si="22"/>
        <v>154653.85</v>
      </c>
      <c r="AA21" s="28">
        <f t="shared" si="22"/>
        <v>155898.82</v>
      </c>
      <c r="AB21" s="28">
        <f t="shared" si="22"/>
        <v>153058.57</v>
      </c>
      <c r="AC21" s="28">
        <f t="shared" si="22"/>
        <v>146964.96999999997</v>
      </c>
      <c r="AD21" s="28">
        <f t="shared" si="22"/>
        <v>133937.41999999998</v>
      </c>
      <c r="AE21" s="28">
        <f t="shared" si="22"/>
        <v>137883.27000000002</v>
      </c>
      <c r="AF21" s="28">
        <f t="shared" si="22"/>
        <v>143254.41999999998</v>
      </c>
      <c r="AG21" s="28">
        <f t="shared" si="22"/>
        <v>147052.95000000001</v>
      </c>
      <c r="AH21" s="28">
        <f t="shared" si="22"/>
        <v>150504.65999999997</v>
      </c>
      <c r="AI21" s="28">
        <f t="shared" si="22"/>
        <v>157074.32</v>
      </c>
      <c r="AJ21" s="28">
        <f t="shared" si="22"/>
        <v>158591.07</v>
      </c>
      <c r="AK21" s="28">
        <f t="shared" si="22"/>
        <v>177154.25</v>
      </c>
      <c r="AL21" s="28">
        <f t="shared" si="22"/>
        <v>187530.7</v>
      </c>
      <c r="AM21" s="28">
        <f t="shared" si="22"/>
        <v>167101.62</v>
      </c>
      <c r="AN21" s="28">
        <f t="shared" si="22"/>
        <v>159417.58000000002</v>
      </c>
      <c r="AO21" s="28">
        <f t="shared" si="22"/>
        <v>158551.72</v>
      </c>
      <c r="AP21" s="28">
        <f t="shared" si="22"/>
        <v>141377.95000000001</v>
      </c>
      <c r="AQ21" s="28">
        <f t="shared" si="22"/>
        <v>145576.92000000001</v>
      </c>
      <c r="AR21" s="28">
        <f t="shared" si="22"/>
        <v>147128.78</v>
      </c>
      <c r="AS21" s="28">
        <f t="shared" si="22"/>
        <v>148529.69</v>
      </c>
      <c r="AT21" s="28">
        <f t="shared" si="22"/>
        <v>151828.05000000002</v>
      </c>
      <c r="AU21" s="28">
        <f t="shared" si="22"/>
        <v>155762.79</v>
      </c>
      <c r="AV21" s="28">
        <f t="shared" si="22"/>
        <v>172904.24</v>
      </c>
      <c r="AW21" s="28">
        <f t="shared" si="22"/>
        <v>173682.12</v>
      </c>
      <c r="AX21" s="28">
        <f t="shared" si="22"/>
        <v>175908.64</v>
      </c>
      <c r="AY21" s="28">
        <f t="shared" si="22"/>
        <v>150538.06</v>
      </c>
      <c r="AZ21" s="28">
        <f t="shared" si="22"/>
        <v>140759.75</v>
      </c>
      <c r="BA21" s="28">
        <f t="shared" si="22"/>
        <v>132803.59</v>
      </c>
      <c r="BB21" s="28">
        <f t="shared" si="22"/>
        <v>117417.23999999999</v>
      </c>
      <c r="BC21" s="28">
        <f t="shared" si="22"/>
        <v>122663.83</v>
      </c>
      <c r="BD21" s="28">
        <f t="shared" si="22"/>
        <v>124556.49</v>
      </c>
      <c r="BE21" s="28">
        <f t="shared" si="22"/>
        <v>124633.46999999999</v>
      </c>
      <c r="BF21" s="28">
        <f t="shared" si="22"/>
        <v>127138.29</v>
      </c>
      <c r="BG21" s="28">
        <f t="shared" si="22"/>
        <v>148996.09999999998</v>
      </c>
      <c r="BH21" s="28">
        <f t="shared" si="22"/>
        <v>154181.21999999997</v>
      </c>
      <c r="BI21" s="28">
        <f t="shared" si="22"/>
        <v>152310.01</v>
      </c>
      <c r="BJ21" s="28">
        <f t="shared" si="22"/>
        <v>135536.79999999999</v>
      </c>
      <c r="BK21" s="28">
        <f t="shared" si="22"/>
        <v>125932.90999999999</v>
      </c>
      <c r="BL21" s="28">
        <f t="shared" si="22"/>
        <v>121815.62999999999</v>
      </c>
      <c r="BM21" s="28">
        <f t="shared" si="22"/>
        <v>92026.03</v>
      </c>
      <c r="BN21" s="28">
        <f t="shared" si="22"/>
        <v>93703.75</v>
      </c>
      <c r="BO21" s="28">
        <f t="shared" si="22"/>
        <v>90687.62</v>
      </c>
      <c r="BP21" s="28">
        <f t="shared" si="22"/>
        <v>86943.799999999988</v>
      </c>
      <c r="BQ21" s="28">
        <f t="shared" si="22"/>
        <v>94845.94</v>
      </c>
      <c r="BR21" s="28">
        <f t="shared" si="22"/>
        <v>100262.51999999999</v>
      </c>
      <c r="BS21" s="28">
        <f t="shared" si="22"/>
        <v>125083.9</v>
      </c>
      <c r="BT21" s="28">
        <f t="shared" si="22"/>
        <v>125332.93</v>
      </c>
      <c r="BU21" s="28">
        <f t="shared" si="22"/>
        <v>109714.4</v>
      </c>
      <c r="BV21" s="28">
        <f t="shared" si="22"/>
        <v>108287.75</v>
      </c>
      <c r="BW21" s="28">
        <f t="shared" si="22"/>
        <v>106160.79000000001</v>
      </c>
      <c r="BX21" s="28">
        <f t="shared" si="22"/>
        <v>72468.790000000008</v>
      </c>
      <c r="BY21" s="28">
        <f t="shared" si="22"/>
        <v>52000.66</v>
      </c>
      <c r="BZ21" s="28">
        <f t="shared" si="22"/>
        <v>53319.350000000006</v>
      </c>
      <c r="CA21" s="28">
        <f t="shared" si="22"/>
        <v>57719.56</v>
      </c>
      <c r="CB21" s="28">
        <f t="shared" si="22"/>
        <v>61073.009999999995</v>
      </c>
      <c r="CC21" s="28">
        <f t="shared" si="22"/>
        <v>64517.91</v>
      </c>
      <c r="CD21" s="28">
        <f t="shared" si="22"/>
        <v>65714.16</v>
      </c>
      <c r="CE21" s="28">
        <f t="shared" si="22"/>
        <v>67885.66</v>
      </c>
      <c r="CF21" s="28">
        <f t="shared" si="22"/>
        <v>109753.20999999999</v>
      </c>
      <c r="CG21" s="28">
        <f t="shared" si="22"/>
        <v>117027.68</v>
      </c>
      <c r="CH21" s="28">
        <f t="shared" si="22"/>
        <v>106655.97</v>
      </c>
      <c r="CI21" s="28">
        <f t="shared" si="22"/>
        <v>103333.95000000001</v>
      </c>
    </row>
    <row r="22" spans="1:87" ht="15.75" customHeight="1" x14ac:dyDescent="0.25">
      <c r="E22" s="1"/>
      <c r="F22" s="1"/>
      <c r="G22" s="1"/>
      <c r="H22" s="1"/>
      <c r="I22" s="1"/>
      <c r="N22" s="29"/>
      <c r="P22" s="17"/>
      <c r="Q22" s="22"/>
      <c r="R22" s="17"/>
      <c r="S22" s="17"/>
      <c r="T22" s="14"/>
      <c r="U22" s="16"/>
      <c r="V22" s="1"/>
      <c r="W22" s="1"/>
    </row>
    <row r="23" spans="1:87" ht="15.75" customHeight="1" x14ac:dyDescent="0.25">
      <c r="A23" s="36" t="s">
        <v>51</v>
      </c>
      <c r="D23" s="1" t="s">
        <v>52</v>
      </c>
      <c r="E23" s="25">
        <v>12075.39</v>
      </c>
      <c r="F23" s="25">
        <v>12085.57</v>
      </c>
      <c r="G23" s="25">
        <v>12186.24</v>
      </c>
      <c r="H23" s="25">
        <v>12314.2</v>
      </c>
      <c r="I23" s="25">
        <v>12314.2</v>
      </c>
      <c r="J23" s="12">
        <v>12314.2</v>
      </c>
      <c r="K23" s="25">
        <v>12314.2</v>
      </c>
      <c r="L23" s="25">
        <v>12314.2</v>
      </c>
      <c r="M23" s="25">
        <v>12680.2</v>
      </c>
      <c r="N23" s="44">
        <v>2052.88</v>
      </c>
      <c r="O23" s="25">
        <v>0</v>
      </c>
      <c r="P23" s="45">
        <v>0</v>
      </c>
      <c r="Q23" s="46">
        <v>9553.5400000000009</v>
      </c>
      <c r="R23" s="45">
        <v>9872.83</v>
      </c>
      <c r="S23" s="45">
        <v>9891.52</v>
      </c>
      <c r="T23" s="19">
        <v>9914.73</v>
      </c>
      <c r="U23" s="19">
        <v>9914.73</v>
      </c>
      <c r="V23" s="25">
        <v>9914.73</v>
      </c>
      <c r="W23" s="25">
        <v>9914.73</v>
      </c>
      <c r="X23" s="25">
        <v>9977.82</v>
      </c>
      <c r="Y23" s="25"/>
      <c r="Z23" s="25"/>
      <c r="AA23" s="25"/>
      <c r="AB23" s="25"/>
      <c r="AC23" s="25">
        <v>2159.13</v>
      </c>
      <c r="AD23" s="25">
        <v>2059.13</v>
      </c>
      <c r="AE23" s="25">
        <v>2059.13</v>
      </c>
      <c r="AF23" s="25">
        <v>2059.13</v>
      </c>
      <c r="AG23" s="25">
        <v>2059.13</v>
      </c>
      <c r="AH23" s="25">
        <v>2059.13</v>
      </c>
      <c r="AI23" s="25">
        <v>2059.13</v>
      </c>
      <c r="AJ23" s="25">
        <v>2059.13</v>
      </c>
      <c r="AK23" s="25"/>
      <c r="AL23" s="25"/>
      <c r="AM23" s="25"/>
      <c r="AN23" s="25"/>
      <c r="AO23" s="25">
        <v>15327.16</v>
      </c>
      <c r="AP23" s="25">
        <v>15327.16</v>
      </c>
      <c r="AQ23" s="25">
        <v>15327.16</v>
      </c>
      <c r="AR23" s="25">
        <v>15327.16</v>
      </c>
      <c r="AS23" s="25">
        <v>15327.16</v>
      </c>
      <c r="AT23" s="25">
        <v>15327.16</v>
      </c>
      <c r="AU23" s="25">
        <v>15327.16</v>
      </c>
      <c r="AV23" s="25">
        <v>15327.16</v>
      </c>
      <c r="BA23" s="59">
        <v>11273.89</v>
      </c>
      <c r="BB23" s="59">
        <v>11273.89</v>
      </c>
      <c r="BC23" s="59">
        <v>11273.89</v>
      </c>
      <c r="BD23" s="59">
        <v>11273.89</v>
      </c>
      <c r="BE23" s="59">
        <v>11273.89</v>
      </c>
      <c r="BF23" s="59">
        <v>11273.89</v>
      </c>
      <c r="BG23" s="59"/>
      <c r="BH23" s="59"/>
      <c r="BI23" s="59"/>
      <c r="BJ23" s="59"/>
      <c r="BK23" s="59"/>
      <c r="BL23" s="59"/>
      <c r="BM23" s="59">
        <v>12836.49</v>
      </c>
      <c r="BN23" s="59">
        <v>13124.2</v>
      </c>
      <c r="BO23" s="59">
        <v>13755</v>
      </c>
      <c r="BP23" s="59">
        <v>13755</v>
      </c>
      <c r="BQ23" s="59">
        <v>13755</v>
      </c>
      <c r="BR23" s="59">
        <v>15375.21</v>
      </c>
      <c r="BS23" s="60" t="s">
        <v>53</v>
      </c>
      <c r="BT23" s="60" t="s">
        <v>53</v>
      </c>
      <c r="BU23" s="60" t="s">
        <v>53</v>
      </c>
      <c r="BV23" s="60" t="s">
        <v>53</v>
      </c>
      <c r="BW23" s="60" t="s">
        <v>53</v>
      </c>
      <c r="BX23" s="59">
        <v>-17550.150000000001</v>
      </c>
      <c r="BY23" s="59">
        <v>-17550.150000000001</v>
      </c>
      <c r="BZ23" s="59">
        <v>-17550.150000000001</v>
      </c>
      <c r="CA23" s="59">
        <v>-15778.35</v>
      </c>
      <c r="CB23" s="59">
        <v>-15778.35</v>
      </c>
      <c r="CC23" s="59">
        <v>-15778.35</v>
      </c>
      <c r="CD23" s="59">
        <v>-15778.35</v>
      </c>
      <c r="CE23" s="59">
        <v>-15191.85</v>
      </c>
      <c r="CF23" s="60" t="s">
        <v>53</v>
      </c>
      <c r="CG23" s="60" t="s">
        <v>53</v>
      </c>
      <c r="CH23" s="60" t="s">
        <v>53</v>
      </c>
      <c r="CI23" s="60" t="s">
        <v>53</v>
      </c>
    </row>
    <row r="24" spans="1:87" ht="15.75" customHeight="1" x14ac:dyDescent="0.25">
      <c r="R24" s="17"/>
      <c r="S24" s="17"/>
      <c r="T24" s="14"/>
      <c r="U24" s="16"/>
      <c r="V24" s="1"/>
      <c r="W24" s="1"/>
    </row>
    <row r="25" spans="1:87" ht="15.75" customHeight="1" x14ac:dyDescent="0.25">
      <c r="S25" s="17"/>
      <c r="T25" s="14"/>
      <c r="U25" s="16"/>
      <c r="V25" s="1"/>
      <c r="W25" s="1"/>
      <c r="BM25" s="48"/>
      <c r="BN25" s="48"/>
    </row>
    <row r="26" spans="1:87" ht="15.75" customHeight="1" x14ac:dyDescent="0.25">
      <c r="D26" s="1" t="s">
        <v>54</v>
      </c>
      <c r="S26" s="17"/>
      <c r="T26" s="14"/>
      <c r="U26" s="16"/>
      <c r="V26" s="1"/>
      <c r="W26" s="1"/>
      <c r="BF26" s="61"/>
      <c r="BG26" s="61"/>
      <c r="BH26" s="61"/>
      <c r="BI26" s="61"/>
      <c r="BJ26" s="61"/>
      <c r="BK26" s="61"/>
      <c r="BL26" s="61"/>
      <c r="BV26" s="48"/>
    </row>
    <row r="27" spans="1:87" ht="15.75" customHeight="1" x14ac:dyDescent="0.25">
      <c r="S27" s="17"/>
      <c r="T27" s="14"/>
      <c r="U27" s="16"/>
      <c r="V27" s="1"/>
      <c r="W27" s="1"/>
    </row>
    <row r="28" spans="1:87" ht="15.75" customHeight="1" x14ac:dyDescent="0.25">
      <c r="S28" s="17"/>
      <c r="T28" s="14"/>
      <c r="U28" s="16"/>
      <c r="V28" s="15"/>
      <c r="W28" s="1"/>
    </row>
    <row r="29" spans="1:87" ht="15.75" customHeight="1" x14ac:dyDescent="0.25">
      <c r="S29" s="17"/>
      <c r="T29" s="14"/>
      <c r="U29" s="16"/>
      <c r="V29" s="1"/>
      <c r="W29" s="1"/>
    </row>
    <row r="30" spans="1:87" ht="15.75" customHeight="1" x14ac:dyDescent="0.25">
      <c r="S30" s="17"/>
      <c r="T30" s="14"/>
      <c r="U30" s="16"/>
      <c r="V30" s="1"/>
      <c r="W30" s="1"/>
      <c r="BV30" s="48"/>
    </row>
    <row r="31" spans="1:87" ht="15.75" customHeight="1" x14ac:dyDescent="0.25">
      <c r="S31" s="17"/>
      <c r="T31" s="14"/>
      <c r="U31" s="16"/>
      <c r="V31" s="1"/>
      <c r="W31" s="1"/>
    </row>
    <row r="32" spans="1:87" ht="15.75" customHeight="1" x14ac:dyDescent="0.25">
      <c r="S32" s="17"/>
      <c r="T32" s="14"/>
      <c r="U32" s="16"/>
      <c r="V32" s="1"/>
      <c r="W32" s="1"/>
    </row>
    <row r="33" spans="19:23" ht="15.75" customHeight="1" x14ac:dyDescent="0.25">
      <c r="S33" s="17"/>
      <c r="T33" s="14"/>
      <c r="U33" s="16"/>
      <c r="V33" s="1"/>
      <c r="W33" s="1"/>
    </row>
    <row r="34" spans="19:23" ht="15.75" customHeight="1" x14ac:dyDescent="0.25">
      <c r="S34" s="17"/>
      <c r="T34" s="14"/>
      <c r="U34" s="16"/>
      <c r="V34" s="1"/>
      <c r="W34" s="1"/>
    </row>
    <row r="35" spans="19:23" ht="15.75" customHeight="1" x14ac:dyDescent="0.25">
      <c r="S35" s="17"/>
      <c r="T35" s="14"/>
      <c r="U35" s="16"/>
      <c r="V35" s="1"/>
      <c r="W35" s="1"/>
    </row>
    <row r="36" spans="19:23" ht="15.75" customHeight="1" x14ac:dyDescent="0.25">
      <c r="S36" s="17"/>
      <c r="T36" s="14"/>
      <c r="U36" s="16"/>
      <c r="V36" s="1"/>
      <c r="W36" s="1"/>
    </row>
    <row r="37" spans="19:23" ht="15.75" customHeight="1" x14ac:dyDescent="0.25">
      <c r="T37" s="6"/>
      <c r="U37" s="7"/>
      <c r="V37" s="1"/>
      <c r="W37" s="1"/>
    </row>
    <row r="38" spans="19:23" ht="15.75" customHeight="1" x14ac:dyDescent="0.25">
      <c r="T38" s="6"/>
      <c r="U38" s="7"/>
      <c r="V38" s="1"/>
      <c r="W38" s="1"/>
    </row>
    <row r="39" spans="19:23" ht="15.75" customHeight="1" x14ac:dyDescent="0.25">
      <c r="T39" s="6"/>
      <c r="U39" s="7"/>
      <c r="V39" s="1"/>
      <c r="W39" s="1"/>
    </row>
    <row r="40" spans="19:23" ht="15.75" customHeight="1" x14ac:dyDescent="0.25">
      <c r="T40" s="6"/>
      <c r="U40" s="7"/>
      <c r="V40" s="1"/>
      <c r="W40" s="1"/>
    </row>
    <row r="41" spans="19:23" ht="15.75" customHeight="1" x14ac:dyDescent="0.25">
      <c r="T41" s="6"/>
      <c r="U41" s="7"/>
      <c r="V41" s="1"/>
      <c r="W41" s="1"/>
    </row>
    <row r="42" spans="19:23" ht="15.75" customHeight="1" x14ac:dyDescent="0.25">
      <c r="T42" s="6"/>
      <c r="U42" s="7"/>
      <c r="V42" s="1"/>
      <c r="W42" s="1"/>
    </row>
    <row r="43" spans="19:23" ht="15.75" customHeight="1" x14ac:dyDescent="0.25">
      <c r="T43" s="6"/>
      <c r="U43" s="7"/>
      <c r="V43" s="1"/>
      <c r="W43" s="1"/>
    </row>
    <row r="44" spans="19:23" ht="15.75" customHeight="1" x14ac:dyDescent="0.25">
      <c r="T44" s="6"/>
      <c r="U44" s="7"/>
      <c r="V44" s="1"/>
      <c r="W44" s="1"/>
    </row>
    <row r="45" spans="19:23" ht="15.75" customHeight="1" x14ac:dyDescent="0.25">
      <c r="T45" s="6"/>
      <c r="U45" s="7"/>
      <c r="V45" s="1"/>
      <c r="W45" s="1"/>
    </row>
    <row r="46" spans="19:23" ht="15.75" customHeight="1" x14ac:dyDescent="0.25">
      <c r="T46" s="6"/>
      <c r="U46" s="7"/>
      <c r="V46" s="1"/>
      <c r="W46" s="1"/>
    </row>
    <row r="47" spans="19:23" ht="15.75" customHeight="1" x14ac:dyDescent="0.25">
      <c r="T47" s="6"/>
      <c r="U47" s="7"/>
      <c r="V47" s="1"/>
      <c r="W47" s="1"/>
    </row>
    <row r="48" spans="19:23" ht="15.75" customHeight="1" x14ac:dyDescent="0.25">
      <c r="T48" s="6"/>
      <c r="U48" s="7"/>
      <c r="V48" s="1"/>
      <c r="W48" s="1"/>
    </row>
    <row r="49" spans="20:23" ht="15.75" customHeight="1" x14ac:dyDescent="0.25">
      <c r="T49" s="6"/>
      <c r="U49" s="7"/>
      <c r="V49" s="1"/>
      <c r="W49" s="1"/>
    </row>
    <row r="50" spans="20:23" ht="15.75" customHeight="1" x14ac:dyDescent="0.25">
      <c r="T50" s="6"/>
      <c r="U50" s="7"/>
      <c r="V50" s="1"/>
      <c r="W50" s="1"/>
    </row>
    <row r="51" spans="20:23" ht="15.75" customHeight="1" x14ac:dyDescent="0.25">
      <c r="T51" s="6"/>
      <c r="U51" s="7"/>
      <c r="V51" s="1"/>
      <c r="W51" s="1"/>
    </row>
    <row r="52" spans="20:23" ht="15.75" customHeight="1" x14ac:dyDescent="0.25">
      <c r="T52" s="6"/>
      <c r="U52" s="7"/>
      <c r="V52" s="1"/>
      <c r="W52" s="1"/>
    </row>
    <row r="53" spans="20:23" ht="15.75" customHeight="1" x14ac:dyDescent="0.25">
      <c r="T53" s="6"/>
      <c r="U53" s="7"/>
      <c r="V53" s="1"/>
      <c r="W53" s="1"/>
    </row>
    <row r="54" spans="20:23" ht="15.75" customHeight="1" x14ac:dyDescent="0.25">
      <c r="T54" s="6"/>
      <c r="U54" s="7"/>
      <c r="V54" s="1"/>
      <c r="W54" s="1"/>
    </row>
    <row r="55" spans="20:23" ht="15.75" customHeight="1" x14ac:dyDescent="0.25">
      <c r="T55" s="6"/>
      <c r="U55" s="7"/>
      <c r="V55" s="1"/>
      <c r="W55" s="1"/>
    </row>
    <row r="56" spans="20:23" ht="15.75" customHeight="1" x14ac:dyDescent="0.25">
      <c r="T56" s="6"/>
      <c r="U56" s="7"/>
      <c r="V56" s="1"/>
      <c r="W56" s="1"/>
    </row>
    <row r="57" spans="20:23" ht="15.75" customHeight="1" x14ac:dyDescent="0.25">
      <c r="T57" s="6"/>
      <c r="U57" s="7"/>
      <c r="V57" s="1"/>
      <c r="W57" s="1"/>
    </row>
    <row r="58" spans="20:23" ht="15.75" customHeight="1" x14ac:dyDescent="0.25">
      <c r="T58" s="6"/>
      <c r="U58" s="7"/>
      <c r="V58" s="1"/>
      <c r="W58" s="1"/>
    </row>
    <row r="59" spans="20:23" ht="15.75" customHeight="1" x14ac:dyDescent="0.25">
      <c r="T59" s="6"/>
      <c r="U59" s="7"/>
      <c r="V59" s="1"/>
      <c r="W59" s="1"/>
    </row>
    <row r="60" spans="20:23" ht="15.75" customHeight="1" x14ac:dyDescent="0.25">
      <c r="T60" s="6"/>
      <c r="U60" s="7"/>
      <c r="V60" s="1"/>
      <c r="W60" s="1"/>
    </row>
    <row r="61" spans="20:23" ht="15.75" customHeight="1" x14ac:dyDescent="0.25">
      <c r="T61" s="6"/>
      <c r="U61" s="7"/>
      <c r="V61" s="1"/>
      <c r="W61" s="1"/>
    </row>
    <row r="62" spans="20:23" ht="15.75" customHeight="1" x14ac:dyDescent="0.25">
      <c r="T62" s="6"/>
      <c r="U62" s="7"/>
      <c r="V62" s="1"/>
      <c r="W62" s="1"/>
    </row>
    <row r="63" spans="20:23" ht="15.75" customHeight="1" x14ac:dyDescent="0.25">
      <c r="T63" s="6"/>
      <c r="U63" s="7"/>
      <c r="V63" s="1"/>
      <c r="W63" s="1"/>
    </row>
    <row r="64" spans="20:23" ht="15.75" customHeight="1" x14ac:dyDescent="0.25">
      <c r="T64" s="6"/>
      <c r="U64" s="7"/>
      <c r="V64" s="1"/>
      <c r="W64" s="1"/>
    </row>
    <row r="65" spans="20:23" ht="15.75" customHeight="1" x14ac:dyDescent="0.25">
      <c r="T65" s="6"/>
      <c r="U65" s="7"/>
      <c r="V65" s="1"/>
      <c r="W65" s="1"/>
    </row>
    <row r="66" spans="20:23" ht="15.75" customHeight="1" x14ac:dyDescent="0.25">
      <c r="T66" s="6"/>
      <c r="U66" s="7"/>
      <c r="V66" s="1"/>
      <c r="W66" s="1"/>
    </row>
    <row r="67" spans="20:23" ht="15.75" customHeight="1" x14ac:dyDescent="0.25">
      <c r="T67" s="6"/>
      <c r="U67" s="7"/>
      <c r="V67" s="1"/>
      <c r="W67" s="1"/>
    </row>
    <row r="68" spans="20:23" ht="15.75" customHeight="1" x14ac:dyDescent="0.25">
      <c r="T68" s="6"/>
      <c r="U68" s="7"/>
      <c r="V68" s="1"/>
      <c r="W68" s="1"/>
    </row>
    <row r="69" spans="20:23" ht="15.75" customHeight="1" x14ac:dyDescent="0.25">
      <c r="T69" s="6"/>
      <c r="U69" s="7"/>
      <c r="V69" s="1"/>
      <c r="W69" s="1"/>
    </row>
    <row r="70" spans="20:23" ht="15.75" customHeight="1" x14ac:dyDescent="0.25">
      <c r="T70" s="6"/>
      <c r="U70" s="7"/>
      <c r="V70" s="1"/>
      <c r="W70" s="1"/>
    </row>
    <row r="71" spans="20:23" ht="15.75" customHeight="1" x14ac:dyDescent="0.25">
      <c r="T71" s="6"/>
      <c r="U71" s="7"/>
      <c r="V71" s="1"/>
      <c r="W71" s="1"/>
    </row>
    <row r="72" spans="20:23" ht="15.75" customHeight="1" x14ac:dyDescent="0.25">
      <c r="T72" s="6"/>
      <c r="U72" s="7"/>
      <c r="V72" s="1"/>
      <c r="W72" s="1"/>
    </row>
    <row r="73" spans="20:23" ht="15.75" customHeight="1" x14ac:dyDescent="0.25">
      <c r="T73" s="6"/>
      <c r="U73" s="7"/>
      <c r="V73" s="1"/>
      <c r="W73" s="1"/>
    </row>
    <row r="74" spans="20:23" ht="15.75" customHeight="1" x14ac:dyDescent="0.25">
      <c r="T74" s="6"/>
      <c r="U74" s="7"/>
      <c r="V74" s="1"/>
      <c r="W74" s="1"/>
    </row>
    <row r="75" spans="20:23" ht="15.75" customHeight="1" x14ac:dyDescent="0.25">
      <c r="T75" s="6"/>
      <c r="U75" s="7"/>
      <c r="V75" s="1"/>
      <c r="W75" s="1"/>
    </row>
    <row r="76" spans="20:23" ht="15.75" customHeight="1" x14ac:dyDescent="0.25">
      <c r="T76" s="6"/>
      <c r="U76" s="7"/>
      <c r="V76" s="1"/>
      <c r="W76" s="1"/>
    </row>
    <row r="77" spans="20:23" ht="15.75" customHeight="1" x14ac:dyDescent="0.25">
      <c r="T77" s="6"/>
      <c r="U77" s="7"/>
      <c r="V77" s="1"/>
      <c r="W77" s="1"/>
    </row>
    <row r="78" spans="20:23" ht="15.75" customHeight="1" x14ac:dyDescent="0.25">
      <c r="T78" s="6"/>
      <c r="U78" s="7"/>
      <c r="V78" s="1"/>
      <c r="W78" s="1"/>
    </row>
    <row r="79" spans="20:23" ht="15.75" customHeight="1" x14ac:dyDescent="0.25">
      <c r="T79" s="6"/>
      <c r="U79" s="7"/>
      <c r="V79" s="1"/>
      <c r="W79" s="1"/>
    </row>
    <row r="80" spans="20:23" ht="15.75" customHeight="1" x14ac:dyDescent="0.25">
      <c r="T80" s="6"/>
      <c r="U80" s="7"/>
      <c r="V80" s="1"/>
      <c r="W80" s="1"/>
    </row>
    <row r="81" spans="20:23" ht="15.75" customHeight="1" x14ac:dyDescent="0.25">
      <c r="T81" s="6"/>
      <c r="U81" s="7"/>
      <c r="V81" s="1"/>
      <c r="W81" s="1"/>
    </row>
    <row r="82" spans="20:23" ht="15.75" customHeight="1" x14ac:dyDescent="0.25">
      <c r="T82" s="6"/>
      <c r="U82" s="7"/>
      <c r="V82" s="1"/>
      <c r="W82" s="1"/>
    </row>
    <row r="83" spans="20:23" ht="15.75" customHeight="1" x14ac:dyDescent="0.25">
      <c r="T83" s="6"/>
      <c r="U83" s="7"/>
      <c r="V83" s="1"/>
      <c r="W83" s="1"/>
    </row>
    <row r="84" spans="20:23" ht="15.75" customHeight="1" x14ac:dyDescent="0.25">
      <c r="T84" s="6"/>
      <c r="U84" s="7"/>
      <c r="V84" s="1"/>
      <c r="W84" s="1"/>
    </row>
    <row r="85" spans="20:23" ht="15.75" customHeight="1" x14ac:dyDescent="0.25">
      <c r="T85" s="6"/>
      <c r="U85" s="7"/>
      <c r="V85" s="1"/>
      <c r="W85" s="1"/>
    </row>
    <row r="86" spans="20:23" ht="15.75" customHeight="1" x14ac:dyDescent="0.25">
      <c r="T86" s="6"/>
      <c r="U86" s="7"/>
      <c r="V86" s="1"/>
      <c r="W86" s="1"/>
    </row>
    <row r="87" spans="20:23" ht="15.75" customHeight="1" x14ac:dyDescent="0.25">
      <c r="T87" s="6"/>
      <c r="U87" s="7"/>
      <c r="V87" s="1"/>
      <c r="W87" s="1"/>
    </row>
    <row r="88" spans="20:23" ht="15.75" customHeight="1" x14ac:dyDescent="0.25">
      <c r="T88" s="6"/>
      <c r="U88" s="7"/>
      <c r="V88" s="1"/>
      <c r="W88" s="1"/>
    </row>
    <row r="89" spans="20:23" ht="15.75" customHeight="1" x14ac:dyDescent="0.25">
      <c r="T89" s="6"/>
      <c r="U89" s="7"/>
      <c r="V89" s="1"/>
      <c r="W89" s="1"/>
    </row>
    <row r="90" spans="20:23" ht="15.75" customHeight="1" x14ac:dyDescent="0.25">
      <c r="T90" s="6"/>
      <c r="U90" s="7"/>
      <c r="V90" s="1"/>
      <c r="W90" s="1"/>
    </row>
    <row r="91" spans="20:23" ht="15.75" customHeight="1" x14ac:dyDescent="0.25">
      <c r="T91" s="6"/>
      <c r="U91" s="7"/>
      <c r="V91" s="1"/>
      <c r="W91" s="1"/>
    </row>
    <row r="92" spans="20:23" ht="15.75" customHeight="1" x14ac:dyDescent="0.25">
      <c r="T92" s="6"/>
      <c r="U92" s="7"/>
      <c r="V92" s="1"/>
      <c r="W92" s="1"/>
    </row>
    <row r="93" spans="20:23" ht="15.75" customHeight="1" x14ac:dyDescent="0.25">
      <c r="T93" s="6"/>
      <c r="U93" s="7"/>
      <c r="V93" s="1"/>
      <c r="W93" s="1"/>
    </row>
    <row r="94" spans="20:23" ht="15.75" customHeight="1" x14ac:dyDescent="0.25">
      <c r="T94" s="6"/>
      <c r="U94" s="7"/>
      <c r="V94" s="1"/>
      <c r="W94" s="1"/>
    </row>
    <row r="95" spans="20:23" ht="15.75" customHeight="1" x14ac:dyDescent="0.25">
      <c r="T95" s="6"/>
      <c r="U95" s="7"/>
      <c r="V95" s="1"/>
      <c r="W95" s="1"/>
    </row>
    <row r="96" spans="20:23" ht="15.75" customHeight="1" x14ac:dyDescent="0.25">
      <c r="T96" s="6"/>
      <c r="U96" s="7"/>
      <c r="V96" s="1"/>
      <c r="W96" s="1"/>
    </row>
    <row r="97" spans="20:23" ht="15.75" customHeight="1" x14ac:dyDescent="0.25">
      <c r="T97" s="6"/>
      <c r="U97" s="7"/>
      <c r="V97" s="1"/>
      <c r="W97" s="1"/>
    </row>
    <row r="98" spans="20:23" ht="15.75" customHeight="1" x14ac:dyDescent="0.25">
      <c r="T98" s="6"/>
      <c r="U98" s="7"/>
      <c r="V98" s="1"/>
      <c r="W98" s="1"/>
    </row>
    <row r="99" spans="20:23" ht="15.75" customHeight="1" x14ac:dyDescent="0.25">
      <c r="T99" s="6"/>
      <c r="U99" s="7"/>
      <c r="V99" s="1"/>
      <c r="W99" s="1"/>
    </row>
    <row r="100" spans="20:23" ht="15.75" customHeight="1" x14ac:dyDescent="0.25">
      <c r="T100" s="6"/>
      <c r="U100" s="7"/>
      <c r="V100" s="1"/>
      <c r="W100" s="1"/>
    </row>
    <row r="101" spans="20:23" ht="15.75" customHeight="1" x14ac:dyDescent="0.25">
      <c r="T101" s="6"/>
      <c r="U101" s="7"/>
      <c r="V101" s="1"/>
      <c r="W101" s="1"/>
    </row>
    <row r="102" spans="20:23" ht="15.75" customHeight="1" x14ac:dyDescent="0.25">
      <c r="T102" s="6"/>
      <c r="U102" s="7"/>
      <c r="V102" s="1"/>
      <c r="W102" s="1"/>
    </row>
    <row r="103" spans="20:23" ht="15.75" customHeight="1" x14ac:dyDescent="0.25">
      <c r="T103" s="6"/>
      <c r="U103" s="7"/>
      <c r="V103" s="1"/>
      <c r="W103" s="1"/>
    </row>
    <row r="104" spans="20:23" ht="15.75" customHeight="1" x14ac:dyDescent="0.25">
      <c r="T104" s="6"/>
      <c r="U104" s="7"/>
      <c r="V104" s="1"/>
      <c r="W104" s="1"/>
    </row>
    <row r="105" spans="20:23" ht="15.75" customHeight="1" x14ac:dyDescent="0.25">
      <c r="T105" s="6"/>
      <c r="U105" s="7"/>
      <c r="V105" s="1"/>
      <c r="W105" s="1"/>
    </row>
    <row r="106" spans="20:23" ht="15.75" customHeight="1" x14ac:dyDescent="0.25">
      <c r="T106" s="6"/>
      <c r="U106" s="7"/>
      <c r="V106" s="1"/>
      <c r="W106" s="1"/>
    </row>
    <row r="107" spans="20:23" ht="15.75" customHeight="1" x14ac:dyDescent="0.25">
      <c r="T107" s="6"/>
      <c r="U107" s="7"/>
      <c r="V107" s="1"/>
      <c r="W107" s="1"/>
    </row>
    <row r="108" spans="20:23" ht="15.75" customHeight="1" x14ac:dyDescent="0.25">
      <c r="T108" s="6"/>
      <c r="U108" s="7"/>
      <c r="V108" s="1"/>
      <c r="W108" s="1"/>
    </row>
    <row r="109" spans="20:23" ht="15.75" customHeight="1" x14ac:dyDescent="0.25">
      <c r="T109" s="6"/>
      <c r="U109" s="7"/>
      <c r="V109" s="1"/>
      <c r="W109" s="1"/>
    </row>
    <row r="110" spans="20:23" ht="15.75" customHeight="1" x14ac:dyDescent="0.25">
      <c r="T110" s="6"/>
      <c r="U110" s="7"/>
      <c r="V110" s="1"/>
      <c r="W110" s="1"/>
    </row>
    <row r="111" spans="20:23" ht="15.75" customHeight="1" x14ac:dyDescent="0.25">
      <c r="T111" s="6"/>
      <c r="U111" s="7"/>
      <c r="V111" s="1"/>
      <c r="W111" s="1"/>
    </row>
    <row r="112" spans="20:23" ht="15.75" customHeight="1" x14ac:dyDescent="0.25">
      <c r="T112" s="6"/>
      <c r="U112" s="7"/>
      <c r="V112" s="1"/>
      <c r="W112" s="1"/>
    </row>
    <row r="113" spans="20:23" ht="15.75" customHeight="1" x14ac:dyDescent="0.25">
      <c r="T113" s="6"/>
      <c r="U113" s="7"/>
      <c r="V113" s="1"/>
      <c r="W113" s="1"/>
    </row>
    <row r="114" spans="20:23" ht="15.75" customHeight="1" x14ac:dyDescent="0.25">
      <c r="T114" s="6"/>
      <c r="U114" s="7"/>
      <c r="V114" s="1"/>
      <c r="W114" s="1"/>
    </row>
    <row r="115" spans="20:23" ht="15.75" customHeight="1" x14ac:dyDescent="0.25">
      <c r="T115" s="6"/>
      <c r="U115" s="7"/>
      <c r="V115" s="1"/>
      <c r="W115" s="1"/>
    </row>
    <row r="116" spans="20:23" ht="15.75" customHeight="1" x14ac:dyDescent="0.25">
      <c r="T116" s="6"/>
      <c r="U116" s="7"/>
      <c r="V116" s="1"/>
      <c r="W116" s="1"/>
    </row>
    <row r="117" spans="20:23" ht="15.75" customHeight="1" x14ac:dyDescent="0.25">
      <c r="T117" s="6"/>
      <c r="U117" s="7"/>
      <c r="V117" s="1"/>
      <c r="W117" s="1"/>
    </row>
    <row r="118" spans="20:23" ht="15.75" customHeight="1" x14ac:dyDescent="0.25">
      <c r="T118" s="6"/>
      <c r="U118" s="7"/>
      <c r="V118" s="1"/>
      <c r="W118" s="1"/>
    </row>
    <row r="119" spans="20:23" ht="15.75" customHeight="1" x14ac:dyDescent="0.25">
      <c r="T119" s="6"/>
      <c r="U119" s="7"/>
      <c r="V119" s="1"/>
      <c r="W119" s="1"/>
    </row>
    <row r="120" spans="20:23" ht="15.75" customHeight="1" x14ac:dyDescent="0.25">
      <c r="T120" s="6"/>
      <c r="U120" s="7"/>
      <c r="V120" s="1"/>
      <c r="W120" s="1"/>
    </row>
    <row r="121" spans="20:23" ht="15.75" customHeight="1" x14ac:dyDescent="0.25">
      <c r="T121" s="6"/>
      <c r="U121" s="7"/>
      <c r="V121" s="1"/>
      <c r="W121" s="1"/>
    </row>
    <row r="122" spans="20:23" ht="15.75" customHeight="1" x14ac:dyDescent="0.25">
      <c r="T122" s="6"/>
      <c r="U122" s="7"/>
      <c r="V122" s="1"/>
      <c r="W122" s="1"/>
    </row>
    <row r="123" spans="20:23" ht="15.75" customHeight="1" x14ac:dyDescent="0.25">
      <c r="T123" s="6"/>
      <c r="U123" s="7"/>
      <c r="V123" s="1"/>
      <c r="W123" s="1"/>
    </row>
    <row r="124" spans="20:23" ht="15.75" customHeight="1" x14ac:dyDescent="0.25">
      <c r="T124" s="6"/>
      <c r="U124" s="7"/>
      <c r="V124" s="1"/>
      <c r="W124" s="1"/>
    </row>
    <row r="125" spans="20:23" ht="15.75" customHeight="1" x14ac:dyDescent="0.25">
      <c r="T125" s="6"/>
      <c r="U125" s="7"/>
      <c r="V125" s="1"/>
      <c r="W125" s="1"/>
    </row>
    <row r="126" spans="20:23" ht="15.75" customHeight="1" x14ac:dyDescent="0.25">
      <c r="T126" s="6"/>
      <c r="U126" s="7"/>
      <c r="V126" s="1"/>
      <c r="W126" s="1"/>
    </row>
    <row r="127" spans="20:23" ht="15.75" customHeight="1" x14ac:dyDescent="0.25">
      <c r="T127" s="6"/>
      <c r="U127" s="7"/>
      <c r="V127" s="1"/>
      <c r="W127" s="1"/>
    </row>
    <row r="128" spans="20:23" ht="15.75" customHeight="1" x14ac:dyDescent="0.25">
      <c r="T128" s="6"/>
      <c r="U128" s="7"/>
      <c r="V128" s="1"/>
      <c r="W128" s="1"/>
    </row>
    <row r="129" spans="20:23" ht="15.75" customHeight="1" x14ac:dyDescent="0.25">
      <c r="T129" s="6"/>
      <c r="U129" s="7"/>
      <c r="V129" s="1"/>
      <c r="W129" s="1"/>
    </row>
    <row r="130" spans="20:23" ht="15.75" customHeight="1" x14ac:dyDescent="0.25">
      <c r="T130" s="6"/>
      <c r="U130" s="7"/>
      <c r="V130" s="1"/>
      <c r="W130" s="1"/>
    </row>
    <row r="131" spans="20:23" ht="15.75" customHeight="1" x14ac:dyDescent="0.25">
      <c r="T131" s="6"/>
      <c r="U131" s="7"/>
      <c r="V131" s="1"/>
      <c r="W131" s="1"/>
    </row>
    <row r="132" spans="20:23" ht="15.75" customHeight="1" x14ac:dyDescent="0.25">
      <c r="T132" s="6"/>
      <c r="U132" s="7"/>
      <c r="V132" s="1"/>
      <c r="W132" s="1"/>
    </row>
    <row r="133" spans="20:23" ht="15.75" customHeight="1" x14ac:dyDescent="0.25">
      <c r="T133" s="6"/>
      <c r="U133" s="7"/>
      <c r="V133" s="1"/>
      <c r="W133" s="1"/>
    </row>
    <row r="134" spans="20:23" ht="15.75" customHeight="1" x14ac:dyDescent="0.25">
      <c r="T134" s="6"/>
      <c r="U134" s="7"/>
      <c r="V134" s="1"/>
      <c r="W134" s="1"/>
    </row>
    <row r="135" spans="20:23" ht="15.75" customHeight="1" x14ac:dyDescent="0.25">
      <c r="T135" s="6"/>
      <c r="U135" s="7"/>
      <c r="V135" s="1"/>
      <c r="W135" s="1"/>
    </row>
    <row r="136" spans="20:23" ht="15.75" customHeight="1" x14ac:dyDescent="0.25">
      <c r="T136" s="6"/>
      <c r="U136" s="7"/>
      <c r="V136" s="1"/>
      <c r="W136" s="1"/>
    </row>
    <row r="137" spans="20:23" ht="15.75" customHeight="1" x14ac:dyDescent="0.25">
      <c r="T137" s="6"/>
      <c r="U137" s="7"/>
      <c r="V137" s="1"/>
      <c r="W137" s="1"/>
    </row>
    <row r="138" spans="20:23" ht="15.75" customHeight="1" x14ac:dyDescent="0.25">
      <c r="T138" s="6"/>
      <c r="U138" s="7"/>
      <c r="V138" s="1"/>
      <c r="W138" s="1"/>
    </row>
    <row r="139" spans="20:23" ht="15.75" customHeight="1" x14ac:dyDescent="0.25">
      <c r="T139" s="6"/>
      <c r="U139" s="7"/>
      <c r="V139" s="1"/>
      <c r="W139" s="1"/>
    </row>
    <row r="140" spans="20:23" ht="15.75" customHeight="1" x14ac:dyDescent="0.25">
      <c r="T140" s="6"/>
      <c r="U140" s="7"/>
      <c r="V140" s="1"/>
      <c r="W140" s="1"/>
    </row>
    <row r="141" spans="20:23" ht="15.75" customHeight="1" x14ac:dyDescent="0.25">
      <c r="T141" s="6"/>
      <c r="U141" s="7"/>
      <c r="V141" s="1"/>
      <c r="W141" s="1"/>
    </row>
    <row r="142" spans="20:23" ht="15.75" customHeight="1" x14ac:dyDescent="0.25">
      <c r="T142" s="6"/>
      <c r="U142" s="7"/>
      <c r="V142" s="1"/>
      <c r="W142" s="1"/>
    </row>
    <row r="143" spans="20:23" ht="15.75" customHeight="1" x14ac:dyDescent="0.25">
      <c r="T143" s="6"/>
      <c r="U143" s="7"/>
      <c r="V143" s="1"/>
      <c r="W143" s="1"/>
    </row>
    <row r="144" spans="20:23" ht="15.75" customHeight="1" x14ac:dyDescent="0.25">
      <c r="T144" s="6"/>
      <c r="U144" s="7"/>
      <c r="V144" s="1"/>
      <c r="W144" s="1"/>
    </row>
    <row r="145" spans="20:23" ht="15.75" customHeight="1" x14ac:dyDescent="0.25">
      <c r="T145" s="6"/>
      <c r="U145" s="7"/>
      <c r="V145" s="1"/>
      <c r="W145" s="1"/>
    </row>
    <row r="146" spans="20:23" ht="15.75" customHeight="1" x14ac:dyDescent="0.25">
      <c r="T146" s="6"/>
      <c r="U146" s="7"/>
      <c r="V146" s="1"/>
      <c r="W146" s="1"/>
    </row>
    <row r="147" spans="20:23" ht="15.75" customHeight="1" x14ac:dyDescent="0.25">
      <c r="T147" s="6"/>
      <c r="U147" s="7"/>
      <c r="V147" s="1"/>
      <c r="W147" s="1"/>
    </row>
    <row r="148" spans="20:23" ht="15.75" customHeight="1" x14ac:dyDescent="0.25">
      <c r="T148" s="6"/>
      <c r="U148" s="7"/>
      <c r="V148" s="1"/>
      <c r="W148" s="1"/>
    </row>
    <row r="149" spans="20:23" ht="15.75" customHeight="1" x14ac:dyDescent="0.25">
      <c r="T149" s="6"/>
      <c r="U149" s="7"/>
      <c r="V149" s="1"/>
      <c r="W149" s="1"/>
    </row>
    <row r="150" spans="20:23" ht="15.75" customHeight="1" x14ac:dyDescent="0.25">
      <c r="T150" s="6"/>
      <c r="U150" s="7"/>
      <c r="V150" s="1"/>
      <c r="W150" s="1"/>
    </row>
    <row r="151" spans="20:23" ht="15.75" customHeight="1" x14ac:dyDescent="0.25">
      <c r="T151" s="6"/>
      <c r="U151" s="7"/>
      <c r="V151" s="1"/>
      <c r="W151" s="1"/>
    </row>
    <row r="152" spans="20:23" ht="15.75" customHeight="1" x14ac:dyDescent="0.25">
      <c r="T152" s="6"/>
      <c r="U152" s="7"/>
      <c r="V152" s="1"/>
      <c r="W152" s="1"/>
    </row>
    <row r="153" spans="20:23" ht="15.75" customHeight="1" x14ac:dyDescent="0.25">
      <c r="T153" s="6"/>
      <c r="U153" s="7"/>
      <c r="V153" s="1"/>
      <c r="W153" s="1"/>
    </row>
    <row r="154" spans="20:23" ht="15.75" customHeight="1" x14ac:dyDescent="0.25">
      <c r="T154" s="6"/>
      <c r="U154" s="7"/>
      <c r="V154" s="1"/>
      <c r="W154" s="1"/>
    </row>
    <row r="155" spans="20:23" ht="15.75" customHeight="1" x14ac:dyDescent="0.25">
      <c r="T155" s="6"/>
      <c r="U155" s="7"/>
      <c r="V155" s="1"/>
      <c r="W155" s="1"/>
    </row>
    <row r="156" spans="20:23" ht="15.75" customHeight="1" x14ac:dyDescent="0.25">
      <c r="T156" s="6"/>
      <c r="U156" s="7"/>
      <c r="V156" s="1"/>
      <c r="W156" s="1"/>
    </row>
    <row r="157" spans="20:23" ht="15.75" customHeight="1" x14ac:dyDescent="0.25">
      <c r="T157" s="6"/>
      <c r="U157" s="7"/>
      <c r="V157" s="1"/>
      <c r="W157" s="1"/>
    </row>
    <row r="158" spans="20:23" ht="15.75" customHeight="1" x14ac:dyDescent="0.25">
      <c r="T158" s="6"/>
      <c r="U158" s="7"/>
      <c r="V158" s="1"/>
      <c r="W158" s="1"/>
    </row>
    <row r="159" spans="20:23" ht="15.75" customHeight="1" x14ac:dyDescent="0.25">
      <c r="T159" s="6"/>
      <c r="U159" s="7"/>
      <c r="V159" s="1"/>
      <c r="W159" s="1"/>
    </row>
    <row r="160" spans="20:23" ht="15.75" customHeight="1" x14ac:dyDescent="0.25">
      <c r="T160" s="6"/>
      <c r="U160" s="7"/>
      <c r="V160" s="1"/>
      <c r="W160" s="1"/>
    </row>
    <row r="161" spans="20:23" ht="15.75" customHeight="1" x14ac:dyDescent="0.25">
      <c r="T161" s="6"/>
      <c r="U161" s="7"/>
      <c r="V161" s="1"/>
      <c r="W161" s="1"/>
    </row>
    <row r="162" spans="20:23" ht="15.75" customHeight="1" x14ac:dyDescent="0.25">
      <c r="T162" s="6"/>
      <c r="U162" s="7"/>
      <c r="V162" s="1"/>
      <c r="W162" s="1"/>
    </row>
    <row r="163" spans="20:23" ht="15.75" customHeight="1" x14ac:dyDescent="0.25">
      <c r="T163" s="6"/>
      <c r="U163" s="7"/>
      <c r="V163" s="1"/>
      <c r="W163" s="1"/>
    </row>
    <row r="164" spans="20:23" ht="15.75" customHeight="1" x14ac:dyDescent="0.25">
      <c r="T164" s="6"/>
      <c r="U164" s="7"/>
      <c r="V164" s="1"/>
      <c r="W164" s="1"/>
    </row>
    <row r="165" spans="20:23" ht="15.75" customHeight="1" x14ac:dyDescent="0.25">
      <c r="T165" s="6"/>
      <c r="U165" s="7"/>
      <c r="V165" s="1"/>
      <c r="W165" s="1"/>
    </row>
    <row r="166" spans="20:23" ht="15.75" customHeight="1" x14ac:dyDescent="0.25">
      <c r="T166" s="6"/>
      <c r="U166" s="7"/>
      <c r="V166" s="1"/>
      <c r="W166" s="1"/>
    </row>
    <row r="167" spans="20:23" ht="15.75" customHeight="1" x14ac:dyDescent="0.25">
      <c r="T167" s="6"/>
      <c r="U167" s="7"/>
      <c r="V167" s="1"/>
      <c r="W167" s="1"/>
    </row>
    <row r="168" spans="20:23" ht="15.75" customHeight="1" x14ac:dyDescent="0.25">
      <c r="T168" s="6"/>
      <c r="U168" s="7"/>
      <c r="V168" s="1"/>
      <c r="W168" s="1"/>
    </row>
    <row r="169" spans="20:23" ht="15.75" customHeight="1" x14ac:dyDescent="0.25">
      <c r="T169" s="6"/>
      <c r="U169" s="7"/>
      <c r="V169" s="1"/>
      <c r="W169" s="1"/>
    </row>
    <row r="170" spans="20:23" ht="15.75" customHeight="1" x14ac:dyDescent="0.25">
      <c r="T170" s="6"/>
      <c r="U170" s="7"/>
      <c r="V170" s="1"/>
      <c r="W170" s="1"/>
    </row>
    <row r="171" spans="20:23" ht="15.75" customHeight="1" x14ac:dyDescent="0.25">
      <c r="T171" s="6"/>
      <c r="U171" s="7"/>
      <c r="V171" s="1"/>
      <c r="W171" s="1"/>
    </row>
    <row r="172" spans="20:23" ht="15.75" customHeight="1" x14ac:dyDescent="0.25">
      <c r="T172" s="6"/>
      <c r="U172" s="7"/>
      <c r="V172" s="1"/>
      <c r="W172" s="1"/>
    </row>
    <row r="173" spans="20:23" ht="15.75" customHeight="1" x14ac:dyDescent="0.25">
      <c r="T173" s="6"/>
      <c r="U173" s="7"/>
      <c r="V173" s="1"/>
      <c r="W173" s="1"/>
    </row>
    <row r="174" spans="20:23" ht="15.75" customHeight="1" x14ac:dyDescent="0.25">
      <c r="T174" s="6"/>
      <c r="U174" s="7"/>
      <c r="V174" s="1"/>
      <c r="W174" s="1"/>
    </row>
    <row r="175" spans="20:23" ht="15.75" customHeight="1" x14ac:dyDescent="0.25">
      <c r="T175" s="6"/>
      <c r="U175" s="7"/>
      <c r="V175" s="1"/>
      <c r="W175" s="1"/>
    </row>
    <row r="176" spans="20:23" ht="15.75" customHeight="1" x14ac:dyDescent="0.25">
      <c r="T176" s="6"/>
      <c r="U176" s="7"/>
      <c r="V176" s="1"/>
      <c r="W176" s="1"/>
    </row>
    <row r="177" spans="20:23" ht="15.75" customHeight="1" x14ac:dyDescent="0.25">
      <c r="T177" s="6"/>
      <c r="U177" s="7"/>
      <c r="V177" s="1"/>
      <c r="W177" s="1"/>
    </row>
    <row r="178" spans="20:23" ht="15.75" customHeight="1" x14ac:dyDescent="0.25">
      <c r="T178" s="6"/>
      <c r="U178" s="7"/>
      <c r="V178" s="1"/>
      <c r="W178" s="1"/>
    </row>
    <row r="179" spans="20:23" ht="15.75" customHeight="1" x14ac:dyDescent="0.25">
      <c r="T179" s="6"/>
      <c r="U179" s="7"/>
      <c r="V179" s="1"/>
      <c r="W179" s="1"/>
    </row>
    <row r="180" spans="20:23" ht="15.75" customHeight="1" x14ac:dyDescent="0.25">
      <c r="T180" s="6"/>
      <c r="U180" s="7"/>
      <c r="V180" s="1"/>
      <c r="W180" s="1"/>
    </row>
    <row r="181" spans="20:23" ht="15.75" customHeight="1" x14ac:dyDescent="0.25">
      <c r="T181" s="6"/>
      <c r="U181" s="7"/>
      <c r="V181" s="1"/>
      <c r="W181" s="1"/>
    </row>
    <row r="182" spans="20:23" ht="15.75" customHeight="1" x14ac:dyDescent="0.25">
      <c r="T182" s="6"/>
      <c r="U182" s="7"/>
      <c r="V182" s="1"/>
      <c r="W182" s="1"/>
    </row>
    <row r="183" spans="20:23" ht="15.75" customHeight="1" x14ac:dyDescent="0.25">
      <c r="T183" s="6"/>
      <c r="U183" s="7"/>
      <c r="V183" s="1"/>
      <c r="W183" s="1"/>
    </row>
    <row r="184" spans="20:23" ht="15.75" customHeight="1" x14ac:dyDescent="0.25">
      <c r="T184" s="6"/>
      <c r="U184" s="7"/>
      <c r="V184" s="1"/>
      <c r="W184" s="1"/>
    </row>
    <row r="185" spans="20:23" ht="15.75" customHeight="1" x14ac:dyDescent="0.25">
      <c r="T185" s="6"/>
      <c r="U185" s="7"/>
      <c r="V185" s="1"/>
      <c r="W185" s="1"/>
    </row>
    <row r="186" spans="20:23" ht="15.75" customHeight="1" x14ac:dyDescent="0.25">
      <c r="T186" s="6"/>
      <c r="U186" s="7"/>
      <c r="V186" s="1"/>
      <c r="W186" s="1"/>
    </row>
    <row r="187" spans="20:23" ht="15.75" customHeight="1" x14ac:dyDescent="0.25">
      <c r="T187" s="6"/>
      <c r="U187" s="7"/>
      <c r="V187" s="1"/>
      <c r="W187" s="1"/>
    </row>
    <row r="188" spans="20:23" ht="15.75" customHeight="1" x14ac:dyDescent="0.25">
      <c r="T188" s="6"/>
      <c r="U188" s="7"/>
      <c r="V188" s="1"/>
      <c r="W188" s="1"/>
    </row>
    <row r="189" spans="20:23" ht="15.75" customHeight="1" x14ac:dyDescent="0.25">
      <c r="T189" s="6"/>
      <c r="U189" s="7"/>
      <c r="V189" s="1"/>
      <c r="W189" s="1"/>
    </row>
    <row r="190" spans="20:23" ht="15.75" customHeight="1" x14ac:dyDescent="0.25">
      <c r="T190" s="6"/>
      <c r="U190" s="7"/>
      <c r="V190" s="1"/>
      <c r="W190" s="1"/>
    </row>
    <row r="191" spans="20:23" ht="15.75" customHeight="1" x14ac:dyDescent="0.25">
      <c r="T191" s="6"/>
      <c r="U191" s="7"/>
      <c r="V191" s="1"/>
      <c r="W191" s="1"/>
    </row>
    <row r="192" spans="20:23" ht="15.75" customHeight="1" x14ac:dyDescent="0.25">
      <c r="T192" s="6"/>
      <c r="U192" s="7"/>
      <c r="V192" s="1"/>
      <c r="W192" s="1"/>
    </row>
    <row r="193" spans="20:23" ht="15.75" customHeight="1" x14ac:dyDescent="0.25">
      <c r="T193" s="6"/>
      <c r="U193" s="7"/>
      <c r="V193" s="1"/>
      <c r="W193" s="1"/>
    </row>
    <row r="194" spans="20:23" ht="15.75" customHeight="1" x14ac:dyDescent="0.25">
      <c r="T194" s="6"/>
      <c r="U194" s="7"/>
      <c r="V194" s="1"/>
      <c r="W194" s="1"/>
    </row>
    <row r="195" spans="20:23" ht="15.75" customHeight="1" x14ac:dyDescent="0.25">
      <c r="T195" s="6"/>
      <c r="U195" s="7"/>
      <c r="V195" s="1"/>
      <c r="W195" s="1"/>
    </row>
    <row r="196" spans="20:23" ht="15.75" customHeight="1" x14ac:dyDescent="0.25">
      <c r="T196" s="6"/>
      <c r="U196" s="7"/>
      <c r="V196" s="1"/>
      <c r="W196" s="1"/>
    </row>
    <row r="197" spans="20:23" ht="15.75" customHeight="1" x14ac:dyDescent="0.25">
      <c r="T197" s="6"/>
      <c r="U197" s="7"/>
      <c r="V197" s="1"/>
      <c r="W197" s="1"/>
    </row>
    <row r="198" spans="20:23" ht="15.75" customHeight="1" x14ac:dyDescent="0.25">
      <c r="T198" s="6"/>
      <c r="U198" s="7"/>
      <c r="V198" s="1"/>
      <c r="W198" s="1"/>
    </row>
    <row r="199" spans="20:23" ht="15.75" customHeight="1" x14ac:dyDescent="0.25">
      <c r="T199" s="6"/>
      <c r="U199" s="7"/>
      <c r="V199" s="1"/>
      <c r="W199" s="1"/>
    </row>
    <row r="200" spans="20:23" ht="15.75" customHeight="1" x14ac:dyDescent="0.25">
      <c r="T200" s="6"/>
      <c r="U200" s="7"/>
      <c r="V200" s="1"/>
      <c r="W200" s="1"/>
    </row>
    <row r="201" spans="20:23" ht="15.75" customHeight="1" x14ac:dyDescent="0.25">
      <c r="T201" s="6"/>
      <c r="U201" s="7"/>
      <c r="V201" s="1"/>
      <c r="W201" s="1"/>
    </row>
    <row r="202" spans="20:23" ht="15.75" customHeight="1" x14ac:dyDescent="0.25">
      <c r="T202" s="6"/>
      <c r="U202" s="7"/>
      <c r="V202" s="1"/>
      <c r="W202" s="1"/>
    </row>
    <row r="203" spans="20:23" ht="15.75" customHeight="1" x14ac:dyDescent="0.25">
      <c r="T203" s="6"/>
      <c r="U203" s="7"/>
      <c r="V203" s="1"/>
      <c r="W203" s="1"/>
    </row>
    <row r="204" spans="20:23" ht="15.75" customHeight="1" x14ac:dyDescent="0.25">
      <c r="T204" s="6"/>
      <c r="U204" s="7"/>
      <c r="V204" s="1"/>
      <c r="W204" s="1"/>
    </row>
    <row r="205" spans="20:23" ht="15.75" customHeight="1" x14ac:dyDescent="0.25">
      <c r="T205" s="6"/>
      <c r="U205" s="7"/>
      <c r="V205" s="1"/>
      <c r="W205" s="1"/>
    </row>
    <row r="206" spans="20:23" ht="15.75" customHeight="1" x14ac:dyDescent="0.25">
      <c r="T206" s="6"/>
      <c r="U206" s="7"/>
      <c r="V206" s="1"/>
      <c r="W206" s="1"/>
    </row>
    <row r="207" spans="20:23" ht="15.75" customHeight="1" x14ac:dyDescent="0.25">
      <c r="T207" s="6"/>
      <c r="U207" s="7"/>
      <c r="V207" s="1"/>
      <c r="W207" s="1"/>
    </row>
    <row r="208" spans="20:23" ht="15.75" customHeight="1" x14ac:dyDescent="0.25">
      <c r="T208" s="6"/>
      <c r="U208" s="7"/>
      <c r="V208" s="1"/>
      <c r="W208" s="1"/>
    </row>
    <row r="209" spans="20:23" ht="15.75" customHeight="1" x14ac:dyDescent="0.25">
      <c r="T209" s="6"/>
      <c r="U209" s="7"/>
      <c r="V209" s="1"/>
      <c r="W209" s="1"/>
    </row>
    <row r="210" spans="20:23" ht="15.75" customHeight="1" x14ac:dyDescent="0.25">
      <c r="T210" s="6"/>
      <c r="U210" s="7"/>
      <c r="V210" s="1"/>
      <c r="W210" s="1"/>
    </row>
    <row r="211" spans="20:23" ht="15.75" customHeight="1" x14ac:dyDescent="0.25">
      <c r="T211" s="6"/>
      <c r="U211" s="7"/>
      <c r="V211" s="1"/>
      <c r="W211" s="1"/>
    </row>
    <row r="212" spans="20:23" ht="15.75" customHeight="1" x14ac:dyDescent="0.25">
      <c r="T212" s="6"/>
      <c r="U212" s="7"/>
      <c r="V212" s="1"/>
      <c r="W212" s="1"/>
    </row>
    <row r="213" spans="20:23" ht="15.75" customHeight="1" x14ac:dyDescent="0.25">
      <c r="T213" s="6"/>
      <c r="U213" s="7"/>
      <c r="V213" s="1"/>
      <c r="W213" s="1"/>
    </row>
    <row r="214" spans="20:23" ht="15.75" customHeight="1" x14ac:dyDescent="0.25">
      <c r="T214" s="6"/>
      <c r="U214" s="7"/>
      <c r="V214" s="1"/>
      <c r="W214" s="1"/>
    </row>
    <row r="215" spans="20:23" ht="15.75" customHeight="1" x14ac:dyDescent="0.25">
      <c r="T215" s="6"/>
      <c r="U215" s="7"/>
      <c r="V215" s="1"/>
      <c r="W215" s="1"/>
    </row>
    <row r="216" spans="20:23" ht="15.75" customHeight="1" x14ac:dyDescent="0.25">
      <c r="T216" s="6"/>
      <c r="U216" s="7"/>
      <c r="V216" s="1"/>
      <c r="W216" s="1"/>
    </row>
    <row r="217" spans="20:23" ht="15.75" customHeight="1" x14ac:dyDescent="0.25">
      <c r="T217" s="6"/>
      <c r="U217" s="7"/>
      <c r="V217" s="1"/>
      <c r="W217" s="1"/>
    </row>
    <row r="218" spans="20:23" ht="15.75" customHeight="1" x14ac:dyDescent="0.25">
      <c r="T218" s="6"/>
      <c r="U218" s="7"/>
      <c r="V218" s="1"/>
      <c r="W218" s="1"/>
    </row>
    <row r="219" spans="20:23" ht="15.75" customHeight="1" x14ac:dyDescent="0.25">
      <c r="T219" s="6"/>
      <c r="U219" s="7"/>
      <c r="V219" s="1"/>
      <c r="W219" s="1"/>
    </row>
    <row r="220" spans="20:23" ht="15.75" customHeight="1" x14ac:dyDescent="0.25">
      <c r="T220" s="6"/>
      <c r="U220" s="7"/>
      <c r="V220" s="1"/>
      <c r="W220" s="1"/>
    </row>
    <row r="221" spans="20:23" ht="15.75" customHeight="1" x14ac:dyDescent="0.25">
      <c r="T221" s="6"/>
      <c r="U221" s="7"/>
      <c r="V221" s="1"/>
      <c r="W221" s="1"/>
    </row>
    <row r="222" spans="20:23" ht="15.75" customHeight="1" x14ac:dyDescent="0.25">
      <c r="T222" s="6"/>
      <c r="U222" s="7"/>
      <c r="V222" s="1"/>
      <c r="W222" s="1"/>
    </row>
    <row r="223" spans="20:23" ht="15.75" customHeight="1" x14ac:dyDescent="0.25">
      <c r="T223" s="6"/>
      <c r="U223" s="7"/>
      <c r="V223" s="1"/>
      <c r="W223" s="1"/>
    </row>
    <row r="224" spans="20:23" ht="15.75" customHeight="1" x14ac:dyDescent="0.25">
      <c r="T224" s="6"/>
      <c r="U224" s="7"/>
      <c r="V224" s="1"/>
      <c r="W224" s="1"/>
    </row>
    <row r="225" spans="20:23" ht="15.75" customHeight="1" x14ac:dyDescent="0.25">
      <c r="T225" s="6"/>
      <c r="U225" s="7"/>
      <c r="V225" s="1"/>
      <c r="W225" s="1"/>
    </row>
    <row r="226" spans="20:23" ht="15.75" customHeight="1" x14ac:dyDescent="0.25">
      <c r="T226" s="6"/>
      <c r="U226" s="7"/>
      <c r="V226" s="1"/>
      <c r="W226" s="1"/>
    </row>
    <row r="227" spans="20:23" ht="15.75" customHeight="1" x14ac:dyDescent="0.25">
      <c r="T227" s="6"/>
      <c r="U227" s="7"/>
      <c r="V227" s="1"/>
      <c r="W227" s="1"/>
    </row>
    <row r="228" spans="20:23" ht="15.75" customHeight="1" x14ac:dyDescent="0.25">
      <c r="T228" s="6"/>
      <c r="U228" s="7"/>
      <c r="V228" s="1"/>
      <c r="W228" s="1"/>
    </row>
    <row r="229" spans="20:23" ht="15.75" customHeight="1" x14ac:dyDescent="0.25">
      <c r="T229" s="6"/>
      <c r="U229" s="7"/>
      <c r="V229" s="1"/>
      <c r="W229" s="1"/>
    </row>
    <row r="230" spans="20:23" ht="15.75" customHeight="1" x14ac:dyDescent="0.25">
      <c r="T230" s="6"/>
      <c r="U230" s="7"/>
      <c r="V230" s="1"/>
      <c r="W230" s="1"/>
    </row>
    <row r="231" spans="20:23" ht="15.75" customHeight="1" x14ac:dyDescent="0.25">
      <c r="T231" s="6"/>
      <c r="U231" s="7"/>
      <c r="V231" s="1"/>
      <c r="W231" s="1"/>
    </row>
    <row r="232" spans="20:23" ht="15.75" customHeight="1" x14ac:dyDescent="0.25">
      <c r="T232" s="6"/>
      <c r="U232" s="7"/>
      <c r="V232" s="1"/>
      <c r="W232" s="1"/>
    </row>
    <row r="233" spans="20:23" ht="15.75" customHeight="1" x14ac:dyDescent="0.25">
      <c r="T233" s="6"/>
      <c r="U233" s="7"/>
      <c r="V233" s="1"/>
      <c r="W233" s="1"/>
    </row>
    <row r="234" spans="20:23" ht="15.75" customHeight="1" x14ac:dyDescent="0.25">
      <c r="T234" s="6"/>
      <c r="U234" s="7"/>
      <c r="V234" s="1"/>
      <c r="W234" s="1"/>
    </row>
    <row r="235" spans="20:23" ht="15.75" customHeight="1" x14ac:dyDescent="0.25">
      <c r="T235" s="6"/>
      <c r="U235" s="7"/>
      <c r="V235" s="1"/>
      <c r="W235" s="1"/>
    </row>
    <row r="236" spans="20:23" ht="15.75" customHeight="1" x14ac:dyDescent="0.25">
      <c r="T236" s="6"/>
      <c r="U236" s="7"/>
      <c r="V236" s="1"/>
      <c r="W236" s="1"/>
    </row>
    <row r="237" spans="20:23" ht="15.75" customHeight="1" x14ac:dyDescent="0.25">
      <c r="T237" s="6"/>
      <c r="U237" s="7"/>
      <c r="V237" s="1"/>
      <c r="W237" s="1"/>
    </row>
    <row r="238" spans="20:23" ht="15.75" customHeight="1" x14ac:dyDescent="0.25">
      <c r="T238" s="6"/>
      <c r="U238" s="7"/>
      <c r="V238" s="1"/>
      <c r="W238" s="1"/>
    </row>
    <row r="239" spans="20:23" ht="15.75" customHeight="1" x14ac:dyDescent="0.25">
      <c r="T239" s="6"/>
      <c r="U239" s="7"/>
      <c r="V239" s="1"/>
      <c r="W239" s="1"/>
    </row>
    <row r="240" spans="20:23" ht="15.75" customHeight="1" x14ac:dyDescent="0.25">
      <c r="T240" s="6"/>
      <c r="U240" s="7"/>
      <c r="V240" s="1"/>
      <c r="W240" s="1"/>
    </row>
    <row r="241" spans="20:23" ht="15.75" customHeight="1" x14ac:dyDescent="0.25">
      <c r="T241" s="6"/>
      <c r="U241" s="7"/>
      <c r="V241" s="1"/>
      <c r="W241" s="1"/>
    </row>
    <row r="242" spans="20:23" ht="15.75" customHeight="1" x14ac:dyDescent="0.25">
      <c r="T242" s="6"/>
      <c r="U242" s="7"/>
      <c r="V242" s="1"/>
      <c r="W242" s="1"/>
    </row>
    <row r="243" spans="20:23" ht="15.75" customHeight="1" x14ac:dyDescent="0.25">
      <c r="T243" s="6"/>
      <c r="U243" s="7"/>
      <c r="V243" s="1"/>
      <c r="W243" s="1"/>
    </row>
    <row r="244" spans="20:23" ht="15.75" customHeight="1" x14ac:dyDescent="0.25">
      <c r="T244" s="6"/>
      <c r="U244" s="7"/>
      <c r="V244" s="1"/>
      <c r="W244" s="1"/>
    </row>
    <row r="245" spans="20:23" ht="15.75" customHeight="1" x14ac:dyDescent="0.25">
      <c r="T245" s="6"/>
      <c r="U245" s="7"/>
      <c r="V245" s="1"/>
      <c r="W245" s="1"/>
    </row>
    <row r="246" spans="20:23" ht="15.75" customHeight="1" x14ac:dyDescent="0.25">
      <c r="T246" s="6"/>
      <c r="U246" s="7"/>
      <c r="V246" s="1"/>
      <c r="W246" s="1"/>
    </row>
    <row r="247" spans="20:23" ht="15.75" customHeight="1" x14ac:dyDescent="0.25">
      <c r="T247" s="6"/>
      <c r="U247" s="7"/>
      <c r="V247" s="1"/>
      <c r="W247" s="1"/>
    </row>
    <row r="248" spans="20:23" ht="15.75" customHeight="1" x14ac:dyDescent="0.25">
      <c r="T248" s="6"/>
      <c r="U248" s="7"/>
      <c r="V248" s="1"/>
      <c r="W248" s="1"/>
    </row>
    <row r="249" spans="20:23" ht="15.75" customHeight="1" x14ac:dyDescent="0.25">
      <c r="T249" s="6"/>
      <c r="U249" s="7"/>
      <c r="V249" s="1"/>
      <c r="W249" s="1"/>
    </row>
    <row r="250" spans="20:23" ht="15.75" customHeight="1" x14ac:dyDescent="0.25">
      <c r="T250" s="6"/>
      <c r="U250" s="7"/>
      <c r="V250" s="1"/>
      <c r="W250" s="1"/>
    </row>
    <row r="251" spans="20:23" ht="15.75" customHeight="1" x14ac:dyDescent="0.25">
      <c r="T251" s="6"/>
      <c r="U251" s="7"/>
      <c r="V251" s="1"/>
      <c r="W251" s="1"/>
    </row>
    <row r="252" spans="20:23" ht="15.75" customHeight="1" x14ac:dyDescent="0.25">
      <c r="T252" s="6"/>
      <c r="U252" s="7"/>
      <c r="V252" s="1"/>
      <c r="W252" s="1"/>
    </row>
    <row r="253" spans="20:23" ht="15.75" customHeight="1" x14ac:dyDescent="0.25">
      <c r="T253" s="6"/>
      <c r="U253" s="7"/>
      <c r="V253" s="1"/>
      <c r="W253" s="1"/>
    </row>
    <row r="254" spans="20:23" ht="15.75" customHeight="1" x14ac:dyDescent="0.25">
      <c r="T254" s="6"/>
      <c r="U254" s="7"/>
      <c r="V254" s="1"/>
      <c r="W254" s="1"/>
    </row>
    <row r="255" spans="20:23" ht="15.75" customHeight="1" x14ac:dyDescent="0.25">
      <c r="T255" s="6"/>
      <c r="U255" s="7"/>
      <c r="V255" s="1"/>
      <c r="W255" s="1"/>
    </row>
    <row r="256" spans="20:23" ht="15.75" customHeight="1" x14ac:dyDescent="0.25">
      <c r="T256" s="6"/>
      <c r="U256" s="7"/>
      <c r="V256" s="1"/>
      <c r="W256" s="1"/>
    </row>
    <row r="257" spans="20:23" ht="15.75" customHeight="1" x14ac:dyDescent="0.25">
      <c r="T257" s="6"/>
      <c r="U257" s="7"/>
      <c r="V257" s="1"/>
      <c r="W257" s="1"/>
    </row>
    <row r="258" spans="20:23" ht="15.75" customHeight="1" x14ac:dyDescent="0.25">
      <c r="T258" s="6"/>
      <c r="U258" s="7"/>
      <c r="V258" s="1"/>
      <c r="W258" s="1"/>
    </row>
    <row r="259" spans="20:23" ht="15.75" customHeight="1" x14ac:dyDescent="0.25">
      <c r="T259" s="6"/>
      <c r="U259" s="7"/>
      <c r="V259" s="1"/>
      <c r="W259" s="1"/>
    </row>
    <row r="260" spans="20:23" ht="15.75" customHeight="1" x14ac:dyDescent="0.25">
      <c r="T260" s="6"/>
      <c r="U260" s="7"/>
      <c r="V260" s="1"/>
      <c r="W260" s="1"/>
    </row>
    <row r="261" spans="20:23" ht="15.75" customHeight="1" x14ac:dyDescent="0.25">
      <c r="T261" s="6"/>
      <c r="U261" s="7"/>
      <c r="V261" s="1"/>
      <c r="W261" s="1"/>
    </row>
    <row r="262" spans="20:23" ht="15.75" customHeight="1" x14ac:dyDescent="0.25">
      <c r="T262" s="6"/>
      <c r="U262" s="7"/>
      <c r="V262" s="1"/>
      <c r="W262" s="1"/>
    </row>
    <row r="263" spans="20:23" ht="15.75" customHeight="1" x14ac:dyDescent="0.25">
      <c r="T263" s="6"/>
      <c r="U263" s="7"/>
      <c r="V263" s="1"/>
      <c r="W263" s="1"/>
    </row>
    <row r="264" spans="20:23" ht="15.75" customHeight="1" x14ac:dyDescent="0.25">
      <c r="T264" s="6"/>
      <c r="U264" s="7"/>
      <c r="V264" s="1"/>
      <c r="W264" s="1"/>
    </row>
    <row r="265" spans="20:23" ht="15.75" customHeight="1" x14ac:dyDescent="0.25">
      <c r="T265" s="6"/>
      <c r="U265" s="7"/>
      <c r="V265" s="1"/>
      <c r="W265" s="1"/>
    </row>
    <row r="266" spans="20:23" ht="15.75" customHeight="1" x14ac:dyDescent="0.25">
      <c r="T266" s="6"/>
      <c r="U266" s="7"/>
      <c r="V266" s="1"/>
      <c r="W266" s="1"/>
    </row>
    <row r="267" spans="20:23" ht="15.75" customHeight="1" x14ac:dyDescent="0.25">
      <c r="T267" s="6"/>
      <c r="U267" s="7"/>
      <c r="V267" s="1"/>
      <c r="W267" s="1"/>
    </row>
    <row r="268" spans="20:23" ht="15.75" customHeight="1" x14ac:dyDescent="0.25">
      <c r="T268" s="6"/>
      <c r="U268" s="7"/>
      <c r="V268" s="1"/>
      <c r="W268" s="1"/>
    </row>
    <row r="269" spans="20:23" ht="15.75" customHeight="1" x14ac:dyDescent="0.25">
      <c r="T269" s="6"/>
      <c r="U269" s="7"/>
      <c r="V269" s="1"/>
      <c r="W269" s="1"/>
    </row>
    <row r="270" spans="20:23" ht="15.75" customHeight="1" x14ac:dyDescent="0.25">
      <c r="T270" s="6"/>
      <c r="U270" s="7"/>
      <c r="V270" s="1"/>
      <c r="W270" s="1"/>
    </row>
    <row r="271" spans="20:23" ht="15.75" customHeight="1" x14ac:dyDescent="0.25">
      <c r="T271" s="6"/>
      <c r="U271" s="7"/>
      <c r="V271" s="1"/>
      <c r="W271" s="1"/>
    </row>
    <row r="272" spans="20:23" ht="15.75" customHeight="1" x14ac:dyDescent="0.25">
      <c r="T272" s="6"/>
      <c r="U272" s="7"/>
      <c r="V272" s="1"/>
      <c r="W272" s="1"/>
    </row>
    <row r="273" spans="20:23" ht="15.75" customHeight="1" x14ac:dyDescent="0.25">
      <c r="T273" s="6"/>
      <c r="U273" s="7"/>
      <c r="V273" s="1"/>
      <c r="W273" s="1"/>
    </row>
    <row r="274" spans="20:23" ht="15.75" customHeight="1" x14ac:dyDescent="0.25">
      <c r="T274" s="6"/>
      <c r="U274" s="7"/>
      <c r="V274" s="1"/>
      <c r="W274" s="1"/>
    </row>
    <row r="275" spans="20:23" ht="15.75" customHeight="1" x14ac:dyDescent="0.25">
      <c r="T275" s="6"/>
      <c r="U275" s="7"/>
      <c r="V275" s="1"/>
      <c r="W275" s="1"/>
    </row>
    <row r="276" spans="20:23" ht="15.75" customHeight="1" x14ac:dyDescent="0.25">
      <c r="T276" s="6"/>
      <c r="U276" s="7"/>
      <c r="V276" s="1"/>
      <c r="W276" s="1"/>
    </row>
    <row r="277" spans="20:23" ht="15.75" customHeight="1" x14ac:dyDescent="0.25">
      <c r="T277" s="6"/>
      <c r="U277" s="7"/>
      <c r="V277" s="1"/>
      <c r="W277" s="1"/>
    </row>
    <row r="278" spans="20:23" ht="15.75" customHeight="1" x14ac:dyDescent="0.25">
      <c r="T278" s="6"/>
      <c r="U278" s="7"/>
      <c r="V278" s="1"/>
      <c r="W278" s="1"/>
    </row>
    <row r="279" spans="20:23" ht="15.75" customHeight="1" x14ac:dyDescent="0.25">
      <c r="T279" s="6"/>
      <c r="U279" s="7"/>
      <c r="V279" s="1"/>
      <c r="W279" s="1"/>
    </row>
    <row r="280" spans="20:23" ht="15.75" customHeight="1" x14ac:dyDescent="0.25">
      <c r="T280" s="6"/>
      <c r="U280" s="7"/>
      <c r="V280" s="1"/>
      <c r="W280" s="1"/>
    </row>
    <row r="281" spans="20:23" ht="15.75" customHeight="1" x14ac:dyDescent="0.25">
      <c r="T281" s="6"/>
      <c r="U281" s="7"/>
      <c r="V281" s="1"/>
      <c r="W281" s="1"/>
    </row>
    <row r="282" spans="20:23" ht="15.75" customHeight="1" x14ac:dyDescent="0.25">
      <c r="T282" s="6"/>
      <c r="U282" s="7"/>
      <c r="V282" s="1"/>
      <c r="W282" s="1"/>
    </row>
    <row r="283" spans="20:23" ht="15.75" customHeight="1" x14ac:dyDescent="0.25">
      <c r="T283" s="6"/>
      <c r="U283" s="7"/>
      <c r="V283" s="1"/>
      <c r="W283" s="1"/>
    </row>
    <row r="284" spans="20:23" ht="15.75" customHeight="1" x14ac:dyDescent="0.25">
      <c r="T284" s="6"/>
      <c r="U284" s="7"/>
      <c r="V284" s="1"/>
      <c r="W284" s="1"/>
    </row>
    <row r="285" spans="20:23" ht="15.75" customHeight="1" x14ac:dyDescent="0.25">
      <c r="T285" s="6"/>
      <c r="U285" s="7"/>
      <c r="V285" s="1"/>
      <c r="W285" s="1"/>
    </row>
    <row r="286" spans="20:23" ht="15.75" customHeight="1" x14ac:dyDescent="0.25">
      <c r="T286" s="6"/>
      <c r="U286" s="7"/>
      <c r="V286" s="1"/>
      <c r="W286" s="1"/>
    </row>
    <row r="287" spans="20:23" ht="15.75" customHeight="1" x14ac:dyDescent="0.25">
      <c r="T287" s="6"/>
      <c r="U287" s="7"/>
      <c r="V287" s="1"/>
      <c r="W287" s="1"/>
    </row>
    <row r="288" spans="20:23" ht="15.75" customHeight="1" x14ac:dyDescent="0.25">
      <c r="T288" s="6"/>
      <c r="U288" s="7"/>
      <c r="V288" s="1"/>
      <c r="W288" s="1"/>
    </row>
    <row r="289" spans="20:23" ht="15.75" customHeight="1" x14ac:dyDescent="0.25">
      <c r="T289" s="6"/>
      <c r="U289" s="7"/>
      <c r="V289" s="1"/>
      <c r="W289" s="1"/>
    </row>
    <row r="290" spans="20:23" ht="15.75" customHeight="1" x14ac:dyDescent="0.25">
      <c r="T290" s="6"/>
      <c r="U290" s="7"/>
      <c r="V290" s="1"/>
      <c r="W290" s="1"/>
    </row>
    <row r="291" spans="20:23" ht="15.75" customHeight="1" x14ac:dyDescent="0.25">
      <c r="T291" s="6"/>
      <c r="U291" s="7"/>
      <c r="V291" s="1"/>
      <c r="W291" s="1"/>
    </row>
    <row r="292" spans="20:23" ht="15.75" customHeight="1" x14ac:dyDescent="0.25">
      <c r="T292" s="6"/>
      <c r="U292" s="7"/>
      <c r="V292" s="1"/>
      <c r="W292" s="1"/>
    </row>
    <row r="293" spans="20:23" ht="15.75" customHeight="1" x14ac:dyDescent="0.25">
      <c r="T293" s="6"/>
      <c r="U293" s="7"/>
      <c r="V293" s="1"/>
      <c r="W293" s="1"/>
    </row>
    <row r="294" spans="20:23" ht="15.75" customHeight="1" x14ac:dyDescent="0.25">
      <c r="T294" s="6"/>
      <c r="U294" s="7"/>
      <c r="V294" s="1"/>
      <c r="W294" s="1"/>
    </row>
    <row r="295" spans="20:23" ht="15.75" customHeight="1" x14ac:dyDescent="0.25">
      <c r="T295" s="6"/>
      <c r="U295" s="7"/>
      <c r="V295" s="1"/>
      <c r="W295" s="1"/>
    </row>
    <row r="296" spans="20:23" ht="15.75" customHeight="1" x14ac:dyDescent="0.25">
      <c r="T296" s="6"/>
      <c r="U296" s="7"/>
      <c r="V296" s="1"/>
      <c r="W296" s="1"/>
    </row>
    <row r="297" spans="20:23" ht="15.75" customHeight="1" x14ac:dyDescent="0.25">
      <c r="T297" s="6"/>
      <c r="U297" s="7"/>
      <c r="V297" s="1"/>
      <c r="W297" s="1"/>
    </row>
    <row r="298" spans="20:23" ht="15.75" customHeight="1" x14ac:dyDescent="0.25">
      <c r="T298" s="6"/>
      <c r="U298" s="7"/>
      <c r="V298" s="1"/>
      <c r="W298" s="1"/>
    </row>
    <row r="299" spans="20:23" ht="15.75" customHeight="1" x14ac:dyDescent="0.25">
      <c r="T299" s="6"/>
      <c r="U299" s="7"/>
      <c r="V299" s="1"/>
      <c r="W299" s="1"/>
    </row>
    <row r="300" spans="20:23" ht="15.75" customHeight="1" x14ac:dyDescent="0.25">
      <c r="T300" s="6"/>
      <c r="U300" s="7"/>
      <c r="V300" s="1"/>
      <c r="W300" s="1"/>
    </row>
    <row r="301" spans="20:23" ht="15.75" customHeight="1" x14ac:dyDescent="0.25">
      <c r="T301" s="6"/>
      <c r="U301" s="7"/>
      <c r="V301" s="1"/>
      <c r="W301" s="1"/>
    </row>
    <row r="302" spans="20:23" ht="15.75" customHeight="1" x14ac:dyDescent="0.25">
      <c r="T302" s="6"/>
      <c r="U302" s="7"/>
      <c r="V302" s="1"/>
      <c r="W302" s="1"/>
    </row>
    <row r="303" spans="20:23" ht="15.75" customHeight="1" x14ac:dyDescent="0.25">
      <c r="T303" s="6"/>
      <c r="U303" s="7"/>
      <c r="V303" s="1"/>
      <c r="W303" s="1"/>
    </row>
    <row r="304" spans="20:23" ht="15.75" customHeight="1" x14ac:dyDescent="0.25">
      <c r="T304" s="6"/>
      <c r="U304" s="7"/>
      <c r="V304" s="1"/>
      <c r="W304" s="1"/>
    </row>
    <row r="305" spans="20:23" ht="15.75" customHeight="1" x14ac:dyDescent="0.25">
      <c r="T305" s="6"/>
      <c r="U305" s="7"/>
      <c r="V305" s="1"/>
      <c r="W305" s="1"/>
    </row>
    <row r="306" spans="20:23" ht="15.75" customHeight="1" x14ac:dyDescent="0.25">
      <c r="T306" s="6"/>
      <c r="U306" s="7"/>
      <c r="V306" s="1"/>
      <c r="W306" s="1"/>
    </row>
    <row r="307" spans="20:23" ht="15.75" customHeight="1" x14ac:dyDescent="0.25">
      <c r="T307" s="6"/>
      <c r="U307" s="7"/>
      <c r="V307" s="1"/>
      <c r="W307" s="1"/>
    </row>
    <row r="308" spans="20:23" ht="15.75" customHeight="1" x14ac:dyDescent="0.25">
      <c r="T308" s="6"/>
      <c r="U308" s="7"/>
      <c r="V308" s="1"/>
      <c r="W308" s="1"/>
    </row>
    <row r="309" spans="20:23" ht="15.75" customHeight="1" x14ac:dyDescent="0.25">
      <c r="T309" s="6"/>
      <c r="U309" s="7"/>
      <c r="V309" s="1"/>
      <c r="W309" s="1"/>
    </row>
    <row r="310" spans="20:23" ht="15.75" customHeight="1" x14ac:dyDescent="0.25">
      <c r="T310" s="6"/>
      <c r="U310" s="7"/>
      <c r="V310" s="1"/>
      <c r="W310" s="1"/>
    </row>
    <row r="311" spans="20:23" ht="15.75" customHeight="1" x14ac:dyDescent="0.25">
      <c r="T311" s="6"/>
      <c r="U311" s="7"/>
      <c r="V311" s="1"/>
      <c r="W311" s="1"/>
    </row>
    <row r="312" spans="20:23" ht="15.75" customHeight="1" x14ac:dyDescent="0.25">
      <c r="T312" s="6"/>
      <c r="U312" s="7"/>
      <c r="V312" s="1"/>
      <c r="W312" s="1"/>
    </row>
    <row r="313" spans="20:23" ht="15.75" customHeight="1" x14ac:dyDescent="0.25">
      <c r="T313" s="6"/>
      <c r="U313" s="7"/>
      <c r="V313" s="1"/>
      <c r="W313" s="1"/>
    </row>
    <row r="314" spans="20:23" ht="15.75" customHeight="1" x14ac:dyDescent="0.25">
      <c r="T314" s="6"/>
      <c r="U314" s="7"/>
      <c r="V314" s="1"/>
      <c r="W314" s="1"/>
    </row>
    <row r="315" spans="20:23" ht="15.75" customHeight="1" x14ac:dyDescent="0.25">
      <c r="T315" s="6"/>
      <c r="U315" s="7"/>
      <c r="V315" s="1"/>
      <c r="W315" s="1"/>
    </row>
    <row r="316" spans="20:23" ht="15.75" customHeight="1" x14ac:dyDescent="0.25">
      <c r="T316" s="6"/>
      <c r="U316" s="7"/>
      <c r="V316" s="1"/>
      <c r="W316" s="1"/>
    </row>
    <row r="317" spans="20:23" ht="15.75" customHeight="1" x14ac:dyDescent="0.25">
      <c r="T317" s="6"/>
      <c r="U317" s="7"/>
      <c r="V317" s="1"/>
      <c r="W317" s="1"/>
    </row>
    <row r="318" spans="20:23" ht="15.75" customHeight="1" x14ac:dyDescent="0.25">
      <c r="T318" s="6"/>
      <c r="U318" s="7"/>
      <c r="V318" s="1"/>
      <c r="W318" s="1"/>
    </row>
    <row r="319" spans="20:23" ht="15.75" customHeight="1" x14ac:dyDescent="0.25">
      <c r="T319" s="6"/>
      <c r="U319" s="7"/>
      <c r="V319" s="1"/>
      <c r="W319" s="1"/>
    </row>
    <row r="320" spans="20:23" ht="15.75" customHeight="1" x14ac:dyDescent="0.25">
      <c r="T320" s="6"/>
      <c r="U320" s="7"/>
      <c r="V320" s="1"/>
      <c r="W320" s="1"/>
    </row>
    <row r="321" spans="20:23" ht="15.75" customHeight="1" x14ac:dyDescent="0.25">
      <c r="T321" s="6"/>
      <c r="U321" s="7"/>
      <c r="V321" s="1"/>
      <c r="W321" s="1"/>
    </row>
    <row r="322" spans="20:23" ht="15.75" customHeight="1" x14ac:dyDescent="0.25">
      <c r="T322" s="6"/>
      <c r="U322" s="7"/>
      <c r="V322" s="1"/>
      <c r="W322" s="1"/>
    </row>
    <row r="323" spans="20:23" ht="15.75" customHeight="1" x14ac:dyDescent="0.25">
      <c r="T323" s="6"/>
      <c r="U323" s="7"/>
      <c r="V323" s="1"/>
      <c r="W323" s="1"/>
    </row>
    <row r="324" spans="20:23" ht="15.75" customHeight="1" x14ac:dyDescent="0.25">
      <c r="T324" s="6"/>
      <c r="U324" s="7"/>
      <c r="V324" s="1"/>
      <c r="W324" s="1"/>
    </row>
    <row r="325" spans="20:23" ht="15.75" customHeight="1" x14ac:dyDescent="0.25">
      <c r="T325" s="6"/>
      <c r="U325" s="7"/>
      <c r="V325" s="1"/>
      <c r="W325" s="1"/>
    </row>
    <row r="326" spans="20:23" ht="15.75" customHeight="1" x14ac:dyDescent="0.25">
      <c r="T326" s="6"/>
      <c r="U326" s="7"/>
      <c r="V326" s="1"/>
      <c r="W326" s="1"/>
    </row>
    <row r="327" spans="20:23" ht="15.75" customHeight="1" x14ac:dyDescent="0.25">
      <c r="T327" s="6"/>
      <c r="U327" s="7"/>
      <c r="V327" s="1"/>
      <c r="W327" s="1"/>
    </row>
    <row r="328" spans="20:23" ht="15.75" customHeight="1" x14ac:dyDescent="0.25">
      <c r="T328" s="6"/>
      <c r="U328" s="7"/>
      <c r="V328" s="1"/>
      <c r="W328" s="1"/>
    </row>
    <row r="329" spans="20:23" ht="15.75" customHeight="1" x14ac:dyDescent="0.25">
      <c r="T329" s="6"/>
      <c r="U329" s="7"/>
      <c r="V329" s="1"/>
      <c r="W329" s="1"/>
    </row>
    <row r="330" spans="20:23" ht="15.75" customHeight="1" x14ac:dyDescent="0.25">
      <c r="T330" s="6"/>
      <c r="U330" s="7"/>
      <c r="V330" s="1"/>
      <c r="W330" s="1"/>
    </row>
    <row r="331" spans="20:23" ht="15.75" customHeight="1" x14ac:dyDescent="0.25">
      <c r="T331" s="6"/>
      <c r="U331" s="7"/>
      <c r="V331" s="1"/>
      <c r="W331" s="1"/>
    </row>
    <row r="332" spans="20:23" ht="15.75" customHeight="1" x14ac:dyDescent="0.25">
      <c r="T332" s="6"/>
      <c r="U332" s="7"/>
      <c r="V332" s="1"/>
      <c r="W332" s="1"/>
    </row>
    <row r="333" spans="20:23" ht="15.75" customHeight="1" x14ac:dyDescent="0.25">
      <c r="T333" s="6"/>
      <c r="U333" s="7"/>
      <c r="V333" s="1"/>
      <c r="W333" s="1"/>
    </row>
    <row r="334" spans="20:23" ht="15.75" customHeight="1" x14ac:dyDescent="0.25">
      <c r="T334" s="6"/>
      <c r="U334" s="7"/>
      <c r="V334" s="1"/>
      <c r="W334" s="1"/>
    </row>
    <row r="335" spans="20:23" ht="15.75" customHeight="1" x14ac:dyDescent="0.25">
      <c r="T335" s="6"/>
      <c r="U335" s="7"/>
      <c r="V335" s="1"/>
      <c r="W335" s="1"/>
    </row>
    <row r="336" spans="20:23" ht="15.75" customHeight="1" x14ac:dyDescent="0.25">
      <c r="T336" s="6"/>
      <c r="U336" s="7"/>
      <c r="V336" s="1"/>
      <c r="W336" s="1"/>
    </row>
    <row r="337" spans="20:23" ht="15.75" customHeight="1" x14ac:dyDescent="0.25">
      <c r="T337" s="6"/>
      <c r="U337" s="7"/>
      <c r="V337" s="1"/>
      <c r="W337" s="1"/>
    </row>
    <row r="338" spans="20:23" ht="15.75" customHeight="1" x14ac:dyDescent="0.25">
      <c r="T338" s="6"/>
      <c r="U338" s="7"/>
      <c r="V338" s="1"/>
      <c r="W338" s="1"/>
    </row>
    <row r="339" spans="20:23" ht="15.75" customHeight="1" x14ac:dyDescent="0.25">
      <c r="T339" s="6"/>
      <c r="U339" s="7"/>
      <c r="V339" s="1"/>
      <c r="W339" s="1"/>
    </row>
    <row r="340" spans="20:23" ht="15.75" customHeight="1" x14ac:dyDescent="0.25">
      <c r="T340" s="6"/>
      <c r="U340" s="7"/>
      <c r="V340" s="1"/>
      <c r="W340" s="1"/>
    </row>
    <row r="341" spans="20:23" ht="15.75" customHeight="1" x14ac:dyDescent="0.25">
      <c r="T341" s="6"/>
      <c r="U341" s="7"/>
      <c r="V341" s="1"/>
      <c r="W341" s="1"/>
    </row>
    <row r="342" spans="20:23" ht="15.75" customHeight="1" x14ac:dyDescent="0.25">
      <c r="T342" s="6"/>
      <c r="U342" s="7"/>
      <c r="V342" s="1"/>
      <c r="W342" s="1"/>
    </row>
    <row r="343" spans="20:23" ht="15.75" customHeight="1" x14ac:dyDescent="0.25">
      <c r="T343" s="6"/>
      <c r="U343" s="7"/>
      <c r="V343" s="1"/>
      <c r="W343" s="1"/>
    </row>
    <row r="344" spans="20:23" ht="15.75" customHeight="1" x14ac:dyDescent="0.25">
      <c r="T344" s="6"/>
      <c r="U344" s="7"/>
      <c r="V344" s="1"/>
      <c r="W344" s="1"/>
    </row>
    <row r="345" spans="20:23" ht="15.75" customHeight="1" x14ac:dyDescent="0.25">
      <c r="T345" s="6"/>
      <c r="U345" s="7"/>
      <c r="V345" s="1"/>
      <c r="W345" s="1"/>
    </row>
    <row r="346" spans="20:23" ht="15.75" customHeight="1" x14ac:dyDescent="0.25">
      <c r="T346" s="6"/>
      <c r="U346" s="7"/>
      <c r="V346" s="1"/>
      <c r="W346" s="1"/>
    </row>
    <row r="347" spans="20:23" ht="15.75" customHeight="1" x14ac:dyDescent="0.25">
      <c r="T347" s="6"/>
      <c r="U347" s="7"/>
      <c r="V347" s="1"/>
      <c r="W347" s="1"/>
    </row>
    <row r="348" spans="20:23" ht="15.75" customHeight="1" x14ac:dyDescent="0.25">
      <c r="T348" s="6"/>
      <c r="U348" s="7"/>
      <c r="V348" s="1"/>
      <c r="W348" s="1"/>
    </row>
    <row r="349" spans="20:23" ht="15.75" customHeight="1" x14ac:dyDescent="0.25">
      <c r="T349" s="6"/>
      <c r="U349" s="7"/>
      <c r="V349" s="1"/>
      <c r="W349" s="1"/>
    </row>
    <row r="350" spans="20:23" ht="15.75" customHeight="1" x14ac:dyDescent="0.25">
      <c r="T350" s="6"/>
      <c r="U350" s="7"/>
      <c r="V350" s="1"/>
      <c r="W350" s="1"/>
    </row>
    <row r="351" spans="20:23" ht="15.75" customHeight="1" x14ac:dyDescent="0.25">
      <c r="T351" s="6"/>
      <c r="U351" s="7"/>
      <c r="V351" s="1"/>
      <c r="W351" s="1"/>
    </row>
    <row r="352" spans="20:23" ht="15.75" customHeight="1" x14ac:dyDescent="0.25">
      <c r="T352" s="6"/>
      <c r="U352" s="7"/>
      <c r="V352" s="1"/>
      <c r="W352" s="1"/>
    </row>
    <row r="353" spans="20:23" ht="15.75" customHeight="1" x14ac:dyDescent="0.25">
      <c r="T353" s="6"/>
      <c r="U353" s="7"/>
      <c r="V353" s="1"/>
      <c r="W353" s="1"/>
    </row>
    <row r="354" spans="20:23" ht="15.75" customHeight="1" x14ac:dyDescent="0.25">
      <c r="T354" s="6"/>
      <c r="U354" s="7"/>
      <c r="V354" s="1"/>
      <c r="W354" s="1"/>
    </row>
    <row r="355" spans="20:23" ht="15.75" customHeight="1" x14ac:dyDescent="0.25">
      <c r="T355" s="6"/>
      <c r="U355" s="7"/>
      <c r="V355" s="1"/>
      <c r="W355" s="1"/>
    </row>
    <row r="356" spans="20:23" ht="15.75" customHeight="1" x14ac:dyDescent="0.25">
      <c r="T356" s="6"/>
      <c r="U356" s="7"/>
      <c r="V356" s="1"/>
      <c r="W356" s="1"/>
    </row>
    <row r="357" spans="20:23" ht="15.75" customHeight="1" x14ac:dyDescent="0.25">
      <c r="T357" s="6"/>
      <c r="U357" s="7"/>
      <c r="V357" s="1"/>
      <c r="W357" s="1"/>
    </row>
    <row r="358" spans="20:23" ht="15.75" customHeight="1" x14ac:dyDescent="0.25">
      <c r="T358" s="6"/>
      <c r="U358" s="7"/>
      <c r="V358" s="1"/>
      <c r="W358" s="1"/>
    </row>
    <row r="359" spans="20:23" ht="15.75" customHeight="1" x14ac:dyDescent="0.25">
      <c r="T359" s="6"/>
      <c r="U359" s="7"/>
      <c r="V359" s="1"/>
      <c r="W359" s="1"/>
    </row>
    <row r="360" spans="20:23" ht="15.75" customHeight="1" x14ac:dyDescent="0.25">
      <c r="T360" s="6"/>
      <c r="U360" s="7"/>
      <c r="V360" s="1"/>
      <c r="W360" s="1"/>
    </row>
    <row r="361" spans="20:23" ht="15.75" customHeight="1" x14ac:dyDescent="0.25">
      <c r="T361" s="6"/>
      <c r="U361" s="7"/>
      <c r="V361" s="1"/>
      <c r="W361" s="1"/>
    </row>
    <row r="362" spans="20:23" ht="15.75" customHeight="1" x14ac:dyDescent="0.25">
      <c r="T362" s="6"/>
      <c r="U362" s="7"/>
      <c r="V362" s="1"/>
      <c r="W362" s="1"/>
    </row>
    <row r="363" spans="20:23" ht="15.75" customHeight="1" x14ac:dyDescent="0.25">
      <c r="T363" s="6"/>
      <c r="U363" s="7"/>
      <c r="V363" s="1"/>
      <c r="W363" s="1"/>
    </row>
    <row r="364" spans="20:23" ht="15.75" customHeight="1" x14ac:dyDescent="0.25">
      <c r="T364" s="6"/>
      <c r="U364" s="7"/>
      <c r="V364" s="1"/>
      <c r="W364" s="1"/>
    </row>
    <row r="365" spans="20:23" ht="15.75" customHeight="1" x14ac:dyDescent="0.25">
      <c r="T365" s="6"/>
      <c r="U365" s="7"/>
      <c r="V365" s="1"/>
      <c r="W365" s="1"/>
    </row>
    <row r="366" spans="20:23" ht="15.75" customHeight="1" x14ac:dyDescent="0.25">
      <c r="T366" s="6"/>
      <c r="U366" s="7"/>
      <c r="V366" s="1"/>
      <c r="W366" s="1"/>
    </row>
    <row r="367" spans="20:23" ht="15.75" customHeight="1" x14ac:dyDescent="0.25">
      <c r="T367" s="6"/>
      <c r="U367" s="7"/>
      <c r="V367" s="1"/>
      <c r="W367" s="1"/>
    </row>
    <row r="368" spans="20:23" ht="15.75" customHeight="1" x14ac:dyDescent="0.25">
      <c r="T368" s="6"/>
      <c r="U368" s="7"/>
      <c r="V368" s="1"/>
      <c r="W368" s="1"/>
    </row>
    <row r="369" spans="20:23" ht="15.75" customHeight="1" x14ac:dyDescent="0.25">
      <c r="T369" s="6"/>
      <c r="U369" s="7"/>
      <c r="V369" s="1"/>
      <c r="W369" s="1"/>
    </row>
    <row r="370" spans="20:23" ht="15.75" customHeight="1" x14ac:dyDescent="0.25">
      <c r="T370" s="6"/>
      <c r="U370" s="7"/>
      <c r="V370" s="1"/>
      <c r="W370" s="1"/>
    </row>
    <row r="371" spans="20:23" ht="15.75" customHeight="1" x14ac:dyDescent="0.25">
      <c r="T371" s="6"/>
      <c r="U371" s="7"/>
      <c r="V371" s="1"/>
      <c r="W371" s="1"/>
    </row>
    <row r="372" spans="20:23" ht="15.75" customHeight="1" x14ac:dyDescent="0.25">
      <c r="T372" s="6"/>
      <c r="U372" s="7"/>
      <c r="V372" s="1"/>
      <c r="W372" s="1"/>
    </row>
    <row r="373" spans="20:23" ht="15.75" customHeight="1" x14ac:dyDescent="0.25">
      <c r="T373" s="6"/>
      <c r="U373" s="7"/>
      <c r="V373" s="1"/>
      <c r="W373" s="1"/>
    </row>
    <row r="374" spans="20:23" ht="15.75" customHeight="1" x14ac:dyDescent="0.25">
      <c r="T374" s="6"/>
      <c r="U374" s="7"/>
      <c r="V374" s="1"/>
      <c r="W374" s="1"/>
    </row>
    <row r="375" spans="20:23" ht="15.75" customHeight="1" x14ac:dyDescent="0.25">
      <c r="T375" s="6"/>
      <c r="U375" s="7"/>
      <c r="V375" s="1"/>
      <c r="W375" s="1"/>
    </row>
    <row r="376" spans="20:23" ht="15.75" customHeight="1" x14ac:dyDescent="0.25">
      <c r="T376" s="6"/>
      <c r="U376" s="7"/>
      <c r="V376" s="1"/>
      <c r="W376" s="1"/>
    </row>
    <row r="377" spans="20:23" ht="15.75" customHeight="1" x14ac:dyDescent="0.25">
      <c r="T377" s="6"/>
      <c r="U377" s="7"/>
      <c r="V377" s="1"/>
      <c r="W377" s="1"/>
    </row>
    <row r="378" spans="20:23" ht="15.75" customHeight="1" x14ac:dyDescent="0.25">
      <c r="T378" s="6"/>
      <c r="U378" s="7"/>
      <c r="V378" s="1"/>
      <c r="W378" s="1"/>
    </row>
    <row r="379" spans="20:23" ht="15.75" customHeight="1" x14ac:dyDescent="0.25">
      <c r="T379" s="6"/>
      <c r="U379" s="7"/>
      <c r="V379" s="1"/>
      <c r="W379" s="1"/>
    </row>
    <row r="380" spans="20:23" ht="15.75" customHeight="1" x14ac:dyDescent="0.25">
      <c r="T380" s="6"/>
      <c r="U380" s="7"/>
      <c r="V380" s="1"/>
      <c r="W380" s="1"/>
    </row>
    <row r="381" spans="20:23" ht="15.75" customHeight="1" x14ac:dyDescent="0.25">
      <c r="T381" s="6"/>
      <c r="U381" s="7"/>
      <c r="V381" s="1"/>
      <c r="W381" s="1"/>
    </row>
    <row r="382" spans="20:23" ht="15.75" customHeight="1" x14ac:dyDescent="0.25">
      <c r="T382" s="6"/>
      <c r="U382" s="7"/>
      <c r="V382" s="1"/>
      <c r="W382" s="1"/>
    </row>
    <row r="383" spans="20:23" ht="15.75" customHeight="1" x14ac:dyDescent="0.25">
      <c r="T383" s="6"/>
      <c r="U383" s="7"/>
      <c r="V383" s="1"/>
      <c r="W383" s="1"/>
    </row>
    <row r="384" spans="20:23" ht="15.75" customHeight="1" x14ac:dyDescent="0.25">
      <c r="T384" s="6"/>
      <c r="U384" s="7"/>
      <c r="V384" s="1"/>
      <c r="W384" s="1"/>
    </row>
    <row r="385" spans="20:23" ht="15.75" customHeight="1" x14ac:dyDescent="0.25">
      <c r="T385" s="6"/>
      <c r="U385" s="7"/>
      <c r="V385" s="1"/>
      <c r="W385" s="1"/>
    </row>
    <row r="386" spans="20:23" ht="15.75" customHeight="1" x14ac:dyDescent="0.25">
      <c r="T386" s="6"/>
      <c r="U386" s="7"/>
      <c r="V386" s="1"/>
      <c r="W386" s="1"/>
    </row>
    <row r="387" spans="20:23" ht="15.75" customHeight="1" x14ac:dyDescent="0.25">
      <c r="T387" s="6"/>
      <c r="U387" s="7"/>
      <c r="V387" s="1"/>
      <c r="W387" s="1"/>
    </row>
    <row r="388" spans="20:23" ht="15.75" customHeight="1" x14ac:dyDescent="0.25">
      <c r="T388" s="6"/>
      <c r="U388" s="7"/>
      <c r="V388" s="1"/>
      <c r="W388" s="1"/>
    </row>
    <row r="389" spans="20:23" ht="15.75" customHeight="1" x14ac:dyDescent="0.25">
      <c r="T389" s="6"/>
      <c r="U389" s="7"/>
      <c r="V389" s="1"/>
      <c r="W389" s="1"/>
    </row>
    <row r="390" spans="20:23" ht="15.75" customHeight="1" x14ac:dyDescent="0.25">
      <c r="T390" s="6"/>
      <c r="U390" s="7"/>
      <c r="V390" s="1"/>
      <c r="W390" s="1"/>
    </row>
    <row r="391" spans="20:23" ht="15.75" customHeight="1" x14ac:dyDescent="0.25">
      <c r="T391" s="6"/>
      <c r="U391" s="7"/>
      <c r="V391" s="1"/>
      <c r="W391" s="1"/>
    </row>
    <row r="392" spans="20:23" ht="15.75" customHeight="1" x14ac:dyDescent="0.25">
      <c r="T392" s="6"/>
      <c r="U392" s="7"/>
      <c r="V392" s="1"/>
      <c r="W392" s="1"/>
    </row>
    <row r="393" spans="20:23" ht="15.75" customHeight="1" x14ac:dyDescent="0.25">
      <c r="T393" s="6"/>
      <c r="U393" s="7"/>
      <c r="V393" s="1"/>
      <c r="W393" s="1"/>
    </row>
    <row r="394" spans="20:23" ht="15.75" customHeight="1" x14ac:dyDescent="0.25">
      <c r="T394" s="6"/>
      <c r="U394" s="7"/>
      <c r="V394" s="1"/>
      <c r="W394" s="1"/>
    </row>
    <row r="395" spans="20:23" ht="15.75" customHeight="1" x14ac:dyDescent="0.25">
      <c r="T395" s="6"/>
      <c r="U395" s="7"/>
      <c r="V395" s="1"/>
      <c r="W395" s="1"/>
    </row>
    <row r="396" spans="20:23" ht="15.75" customHeight="1" x14ac:dyDescent="0.25">
      <c r="T396" s="6"/>
      <c r="U396" s="7"/>
      <c r="V396" s="1"/>
      <c r="W396" s="1"/>
    </row>
    <row r="397" spans="20:23" ht="15.75" customHeight="1" x14ac:dyDescent="0.25">
      <c r="T397" s="6"/>
      <c r="U397" s="7"/>
      <c r="V397" s="1"/>
      <c r="W397" s="1"/>
    </row>
    <row r="398" spans="20:23" ht="15.75" customHeight="1" x14ac:dyDescent="0.25">
      <c r="T398" s="6"/>
      <c r="U398" s="7"/>
      <c r="V398" s="1"/>
      <c r="W398" s="1"/>
    </row>
    <row r="399" spans="20:23" ht="15.75" customHeight="1" x14ac:dyDescent="0.25">
      <c r="T399" s="6"/>
      <c r="U399" s="7"/>
      <c r="V399" s="1"/>
      <c r="W399" s="1"/>
    </row>
    <row r="400" spans="20:23" ht="15.75" customHeight="1" x14ac:dyDescent="0.25">
      <c r="T400" s="6"/>
      <c r="U400" s="7"/>
      <c r="V400" s="1"/>
      <c r="W400" s="1"/>
    </row>
    <row r="401" spans="20:23" ht="15.75" customHeight="1" x14ac:dyDescent="0.25">
      <c r="T401" s="6"/>
      <c r="U401" s="7"/>
      <c r="V401" s="1"/>
      <c r="W401" s="1"/>
    </row>
    <row r="402" spans="20:23" ht="15.75" customHeight="1" x14ac:dyDescent="0.25">
      <c r="T402" s="6"/>
      <c r="U402" s="7"/>
      <c r="V402" s="1"/>
      <c r="W402" s="1"/>
    </row>
    <row r="403" spans="20:23" ht="15.75" customHeight="1" x14ac:dyDescent="0.25">
      <c r="T403" s="6"/>
      <c r="U403" s="7"/>
      <c r="V403" s="1"/>
      <c r="W403" s="1"/>
    </row>
    <row r="404" spans="20:23" ht="15.75" customHeight="1" x14ac:dyDescent="0.25">
      <c r="T404" s="6"/>
      <c r="U404" s="7"/>
      <c r="V404" s="1"/>
      <c r="W404" s="1"/>
    </row>
    <row r="405" spans="20:23" ht="15.75" customHeight="1" x14ac:dyDescent="0.25">
      <c r="T405" s="6"/>
      <c r="U405" s="7"/>
      <c r="V405" s="1"/>
      <c r="W405" s="1"/>
    </row>
    <row r="406" spans="20:23" ht="15.75" customHeight="1" x14ac:dyDescent="0.25">
      <c r="T406" s="6"/>
      <c r="U406" s="7"/>
      <c r="V406" s="1"/>
      <c r="W406" s="1"/>
    </row>
    <row r="407" spans="20:23" ht="15.75" customHeight="1" x14ac:dyDescent="0.25">
      <c r="T407" s="6"/>
      <c r="U407" s="7"/>
      <c r="V407" s="1"/>
      <c r="W407" s="1"/>
    </row>
    <row r="408" spans="20:23" ht="15.75" customHeight="1" x14ac:dyDescent="0.25">
      <c r="T408" s="6"/>
      <c r="U408" s="7"/>
      <c r="V408" s="1"/>
      <c r="W408" s="1"/>
    </row>
    <row r="409" spans="20:23" ht="15.75" customHeight="1" x14ac:dyDescent="0.25">
      <c r="T409" s="6"/>
      <c r="U409" s="7"/>
      <c r="V409" s="1"/>
      <c r="W409" s="1"/>
    </row>
    <row r="410" spans="20:23" ht="15.75" customHeight="1" x14ac:dyDescent="0.25">
      <c r="T410" s="6"/>
      <c r="U410" s="7"/>
      <c r="V410" s="1"/>
      <c r="W410" s="1"/>
    </row>
    <row r="411" spans="20:23" ht="15.75" customHeight="1" x14ac:dyDescent="0.25">
      <c r="T411" s="6"/>
      <c r="U411" s="7"/>
      <c r="V411" s="1"/>
      <c r="W411" s="1"/>
    </row>
    <row r="412" spans="20:23" ht="15.75" customHeight="1" x14ac:dyDescent="0.25">
      <c r="T412" s="6"/>
      <c r="U412" s="7"/>
      <c r="V412" s="1"/>
      <c r="W412" s="1"/>
    </row>
    <row r="413" spans="20:23" ht="15.75" customHeight="1" x14ac:dyDescent="0.25">
      <c r="T413" s="6"/>
      <c r="U413" s="7"/>
      <c r="V413" s="1"/>
      <c r="W413" s="1"/>
    </row>
    <row r="414" spans="20:23" ht="15.75" customHeight="1" x14ac:dyDescent="0.25">
      <c r="T414" s="6"/>
      <c r="U414" s="7"/>
      <c r="V414" s="1"/>
      <c r="W414" s="1"/>
    </row>
    <row r="415" spans="20:23" ht="15.75" customHeight="1" x14ac:dyDescent="0.25">
      <c r="T415" s="6"/>
      <c r="U415" s="7"/>
      <c r="V415" s="1"/>
      <c r="W415" s="1"/>
    </row>
    <row r="416" spans="20:23" ht="15.75" customHeight="1" x14ac:dyDescent="0.25">
      <c r="T416" s="6"/>
      <c r="U416" s="7"/>
      <c r="V416" s="1"/>
      <c r="W416" s="1"/>
    </row>
    <row r="417" spans="20:23" ht="15.75" customHeight="1" x14ac:dyDescent="0.25">
      <c r="T417" s="6"/>
      <c r="U417" s="7"/>
      <c r="V417" s="1"/>
      <c r="W417" s="1"/>
    </row>
    <row r="418" spans="20:23" ht="15.75" customHeight="1" x14ac:dyDescent="0.25">
      <c r="T418" s="6"/>
      <c r="U418" s="7"/>
      <c r="V418" s="1"/>
      <c r="W418" s="1"/>
    </row>
    <row r="419" spans="20:23" ht="15.75" customHeight="1" x14ac:dyDescent="0.25">
      <c r="T419" s="6"/>
      <c r="U419" s="7"/>
      <c r="V419" s="1"/>
      <c r="W419" s="1"/>
    </row>
    <row r="420" spans="20:23" ht="15.75" customHeight="1" x14ac:dyDescent="0.25">
      <c r="T420" s="6"/>
      <c r="U420" s="7"/>
      <c r="V420" s="1"/>
      <c r="W420" s="1"/>
    </row>
    <row r="421" spans="20:23" ht="15.75" customHeight="1" x14ac:dyDescent="0.25">
      <c r="T421" s="6"/>
      <c r="U421" s="7"/>
      <c r="V421" s="1"/>
      <c r="W421" s="1"/>
    </row>
    <row r="422" spans="20:23" ht="15.75" customHeight="1" x14ac:dyDescent="0.25">
      <c r="T422" s="6"/>
      <c r="U422" s="7"/>
      <c r="V422" s="1"/>
      <c r="W422" s="1"/>
    </row>
    <row r="423" spans="20:23" ht="15.75" customHeight="1" x14ac:dyDescent="0.25">
      <c r="T423" s="6"/>
      <c r="U423" s="7"/>
      <c r="V423" s="1"/>
      <c r="W423" s="1"/>
    </row>
    <row r="424" spans="20:23" ht="15.75" customHeight="1" x14ac:dyDescent="0.25">
      <c r="T424" s="6"/>
      <c r="U424" s="7"/>
      <c r="V424" s="1"/>
      <c r="W424" s="1"/>
    </row>
    <row r="425" spans="20:23" ht="15.75" customHeight="1" x14ac:dyDescent="0.25">
      <c r="T425" s="6"/>
      <c r="U425" s="7"/>
      <c r="V425" s="1"/>
      <c r="W425" s="1"/>
    </row>
    <row r="426" spans="20:23" ht="15.75" customHeight="1" x14ac:dyDescent="0.25">
      <c r="T426" s="6"/>
      <c r="U426" s="7"/>
      <c r="V426" s="1"/>
      <c r="W426" s="1"/>
    </row>
    <row r="427" spans="20:23" ht="15.75" customHeight="1" x14ac:dyDescent="0.25">
      <c r="T427" s="6"/>
      <c r="U427" s="7"/>
      <c r="V427" s="1"/>
      <c r="W427" s="1"/>
    </row>
    <row r="428" spans="20:23" ht="15.75" customHeight="1" x14ac:dyDescent="0.25">
      <c r="T428" s="6"/>
      <c r="U428" s="7"/>
      <c r="V428" s="1"/>
      <c r="W428" s="1"/>
    </row>
    <row r="429" spans="20:23" ht="15.75" customHeight="1" x14ac:dyDescent="0.25">
      <c r="T429" s="6"/>
      <c r="U429" s="7"/>
      <c r="V429" s="1"/>
      <c r="W429" s="1"/>
    </row>
    <row r="430" spans="20:23" ht="15.75" customHeight="1" x14ac:dyDescent="0.25">
      <c r="T430" s="6"/>
      <c r="U430" s="7"/>
      <c r="V430" s="1"/>
      <c r="W430" s="1"/>
    </row>
    <row r="431" spans="20:23" ht="15.75" customHeight="1" x14ac:dyDescent="0.25">
      <c r="T431" s="6"/>
      <c r="U431" s="7"/>
      <c r="V431" s="1"/>
      <c r="W431" s="1"/>
    </row>
    <row r="432" spans="20:23" ht="15.75" customHeight="1" x14ac:dyDescent="0.25">
      <c r="T432" s="6"/>
      <c r="U432" s="7"/>
      <c r="V432" s="1"/>
      <c r="W432" s="1"/>
    </row>
    <row r="433" spans="20:23" ht="15.75" customHeight="1" x14ac:dyDescent="0.25">
      <c r="T433" s="6"/>
      <c r="U433" s="7"/>
      <c r="V433" s="1"/>
      <c r="W433" s="1"/>
    </row>
    <row r="434" spans="20:23" ht="15.75" customHeight="1" x14ac:dyDescent="0.25">
      <c r="T434" s="6"/>
      <c r="U434" s="7"/>
      <c r="V434" s="1"/>
      <c r="W434" s="1"/>
    </row>
    <row r="435" spans="20:23" ht="15.75" customHeight="1" x14ac:dyDescent="0.25">
      <c r="T435" s="6"/>
      <c r="U435" s="7"/>
      <c r="V435" s="1"/>
      <c r="W435" s="1"/>
    </row>
    <row r="436" spans="20:23" ht="15.75" customHeight="1" x14ac:dyDescent="0.25">
      <c r="T436" s="6"/>
      <c r="U436" s="7"/>
      <c r="V436" s="1"/>
      <c r="W436" s="1"/>
    </row>
    <row r="437" spans="20:23" ht="15.75" customHeight="1" x14ac:dyDescent="0.25">
      <c r="T437" s="6"/>
      <c r="U437" s="7"/>
      <c r="V437" s="1"/>
      <c r="W437" s="1"/>
    </row>
    <row r="438" spans="20:23" ht="15.75" customHeight="1" x14ac:dyDescent="0.25">
      <c r="T438" s="6"/>
      <c r="U438" s="7"/>
      <c r="V438" s="1"/>
      <c r="W438" s="1"/>
    </row>
    <row r="439" spans="20:23" ht="15.75" customHeight="1" x14ac:dyDescent="0.25">
      <c r="T439" s="6"/>
      <c r="U439" s="7"/>
      <c r="V439" s="1"/>
      <c r="W439" s="1"/>
    </row>
    <row r="440" spans="20:23" ht="15.75" customHeight="1" x14ac:dyDescent="0.25">
      <c r="T440" s="6"/>
      <c r="U440" s="7"/>
      <c r="V440" s="1"/>
      <c r="W440" s="1"/>
    </row>
    <row r="441" spans="20:23" ht="15.75" customHeight="1" x14ac:dyDescent="0.25">
      <c r="T441" s="6"/>
      <c r="U441" s="7"/>
      <c r="V441" s="1"/>
      <c r="W441" s="1"/>
    </row>
    <row r="442" spans="20:23" ht="15.75" customHeight="1" x14ac:dyDescent="0.25">
      <c r="T442" s="6"/>
      <c r="U442" s="7"/>
      <c r="V442" s="1"/>
      <c r="W442" s="1"/>
    </row>
    <row r="443" spans="20:23" ht="15.75" customHeight="1" x14ac:dyDescent="0.25">
      <c r="T443" s="6"/>
      <c r="U443" s="7"/>
      <c r="V443" s="1"/>
      <c r="W443" s="1"/>
    </row>
    <row r="444" spans="20:23" ht="15.75" customHeight="1" x14ac:dyDescent="0.25">
      <c r="T444" s="6"/>
      <c r="U444" s="7"/>
      <c r="V444" s="1"/>
      <c r="W444" s="1"/>
    </row>
    <row r="445" spans="20:23" ht="15.75" customHeight="1" x14ac:dyDescent="0.25">
      <c r="T445" s="6"/>
      <c r="U445" s="7"/>
      <c r="V445" s="1"/>
      <c r="W445" s="1"/>
    </row>
    <row r="446" spans="20:23" ht="15.75" customHeight="1" x14ac:dyDescent="0.25">
      <c r="T446" s="6"/>
      <c r="U446" s="7"/>
      <c r="V446" s="1"/>
      <c r="W446" s="1"/>
    </row>
    <row r="447" spans="20:23" ht="15.75" customHeight="1" x14ac:dyDescent="0.25">
      <c r="T447" s="6"/>
      <c r="U447" s="7"/>
      <c r="V447" s="1"/>
      <c r="W447" s="1"/>
    </row>
    <row r="448" spans="20:23" ht="15.75" customHeight="1" x14ac:dyDescent="0.25">
      <c r="T448" s="6"/>
      <c r="U448" s="7"/>
      <c r="V448" s="1"/>
      <c r="W448" s="1"/>
    </row>
    <row r="449" spans="20:23" ht="15.75" customHeight="1" x14ac:dyDescent="0.25">
      <c r="T449" s="6"/>
      <c r="U449" s="7"/>
      <c r="V449" s="1"/>
      <c r="W449" s="1"/>
    </row>
    <row r="450" spans="20:23" ht="15.75" customHeight="1" x14ac:dyDescent="0.25">
      <c r="T450" s="6"/>
      <c r="U450" s="7"/>
      <c r="V450" s="1"/>
      <c r="W450" s="1"/>
    </row>
    <row r="451" spans="20:23" ht="15.75" customHeight="1" x14ac:dyDescent="0.25">
      <c r="T451" s="6"/>
      <c r="U451" s="7"/>
      <c r="V451" s="1"/>
      <c r="W451" s="1"/>
    </row>
    <row r="452" spans="20:23" ht="15.75" customHeight="1" x14ac:dyDescent="0.25">
      <c r="T452" s="6"/>
      <c r="U452" s="7"/>
      <c r="V452" s="1"/>
      <c r="W452" s="1"/>
    </row>
    <row r="453" spans="20:23" ht="15.75" customHeight="1" x14ac:dyDescent="0.25">
      <c r="T453" s="6"/>
      <c r="U453" s="7"/>
      <c r="V453" s="1"/>
      <c r="W453" s="1"/>
    </row>
    <row r="454" spans="20:23" ht="15.75" customHeight="1" x14ac:dyDescent="0.25">
      <c r="T454" s="6"/>
      <c r="U454" s="7"/>
      <c r="V454" s="1"/>
      <c r="W454" s="1"/>
    </row>
    <row r="455" spans="20:23" ht="15.75" customHeight="1" x14ac:dyDescent="0.25">
      <c r="T455" s="6"/>
      <c r="U455" s="7"/>
      <c r="V455" s="1"/>
      <c r="W455" s="1"/>
    </row>
    <row r="456" spans="20:23" ht="15.75" customHeight="1" x14ac:dyDescent="0.25">
      <c r="T456" s="6"/>
      <c r="U456" s="7"/>
      <c r="V456" s="1"/>
      <c r="W456" s="1"/>
    </row>
    <row r="457" spans="20:23" ht="15.75" customHeight="1" x14ac:dyDescent="0.25">
      <c r="T457" s="6"/>
      <c r="U457" s="7"/>
      <c r="V457" s="1"/>
      <c r="W457" s="1"/>
    </row>
    <row r="458" spans="20:23" ht="15.75" customHeight="1" x14ac:dyDescent="0.25">
      <c r="T458" s="6"/>
      <c r="U458" s="7"/>
      <c r="V458" s="1"/>
      <c r="W458" s="1"/>
    </row>
    <row r="459" spans="20:23" ht="15.75" customHeight="1" x14ac:dyDescent="0.25">
      <c r="T459" s="6"/>
      <c r="U459" s="7"/>
      <c r="V459" s="1"/>
      <c r="W459" s="1"/>
    </row>
    <row r="460" spans="20:23" ht="15.75" customHeight="1" x14ac:dyDescent="0.25">
      <c r="T460" s="6"/>
      <c r="U460" s="7"/>
      <c r="V460" s="1"/>
      <c r="W460" s="1"/>
    </row>
    <row r="461" spans="20:23" ht="15.75" customHeight="1" x14ac:dyDescent="0.25">
      <c r="T461" s="6"/>
      <c r="U461" s="7"/>
      <c r="V461" s="1"/>
      <c r="W461" s="1"/>
    </row>
    <row r="462" spans="20:23" ht="15.75" customHeight="1" x14ac:dyDescent="0.25">
      <c r="T462" s="6"/>
      <c r="U462" s="7"/>
      <c r="V462" s="1"/>
      <c r="W462" s="1"/>
    </row>
    <row r="463" spans="20:23" ht="15.75" customHeight="1" x14ac:dyDescent="0.25">
      <c r="T463" s="6"/>
      <c r="U463" s="7"/>
      <c r="V463" s="1"/>
      <c r="W463" s="1"/>
    </row>
    <row r="464" spans="20:23" ht="15.75" customHeight="1" x14ac:dyDescent="0.25">
      <c r="T464" s="6"/>
      <c r="U464" s="7"/>
      <c r="V464" s="1"/>
      <c r="W464" s="1"/>
    </row>
    <row r="465" spans="20:23" ht="15.75" customHeight="1" x14ac:dyDescent="0.25">
      <c r="T465" s="6"/>
      <c r="U465" s="7"/>
      <c r="V465" s="1"/>
      <c r="W465" s="1"/>
    </row>
    <row r="466" spans="20:23" ht="15.75" customHeight="1" x14ac:dyDescent="0.25">
      <c r="T466" s="6"/>
      <c r="U466" s="7"/>
      <c r="V466" s="1"/>
      <c r="W466" s="1"/>
    </row>
    <row r="467" spans="20:23" ht="15.75" customHeight="1" x14ac:dyDescent="0.25">
      <c r="T467" s="6"/>
      <c r="U467" s="7"/>
      <c r="V467" s="1"/>
      <c r="W467" s="1"/>
    </row>
    <row r="468" spans="20:23" ht="15.75" customHeight="1" x14ac:dyDescent="0.25">
      <c r="T468" s="6"/>
      <c r="U468" s="7"/>
      <c r="V468" s="1"/>
      <c r="W468" s="1"/>
    </row>
    <row r="469" spans="20:23" ht="15.75" customHeight="1" x14ac:dyDescent="0.25">
      <c r="T469" s="6"/>
      <c r="U469" s="7"/>
      <c r="V469" s="1"/>
      <c r="W469" s="1"/>
    </row>
    <row r="470" spans="20:23" ht="15.75" customHeight="1" x14ac:dyDescent="0.25">
      <c r="T470" s="6"/>
      <c r="U470" s="7"/>
      <c r="V470" s="1"/>
      <c r="W470" s="1"/>
    </row>
    <row r="471" spans="20:23" ht="15.75" customHeight="1" x14ac:dyDescent="0.25">
      <c r="T471" s="6"/>
      <c r="U471" s="7"/>
      <c r="V471" s="1"/>
      <c r="W471" s="1"/>
    </row>
    <row r="472" spans="20:23" ht="15.75" customHeight="1" x14ac:dyDescent="0.25">
      <c r="T472" s="6"/>
      <c r="U472" s="7"/>
      <c r="V472" s="1"/>
      <c r="W472" s="1"/>
    </row>
    <row r="473" spans="20:23" ht="15.75" customHeight="1" x14ac:dyDescent="0.25">
      <c r="T473" s="6"/>
      <c r="U473" s="7"/>
      <c r="V473" s="1"/>
      <c r="W473" s="1"/>
    </row>
    <row r="474" spans="20:23" ht="15.75" customHeight="1" x14ac:dyDescent="0.25">
      <c r="T474" s="6"/>
      <c r="U474" s="7"/>
      <c r="V474" s="1"/>
      <c r="W474" s="1"/>
    </row>
    <row r="475" spans="20:23" ht="15.75" customHeight="1" x14ac:dyDescent="0.25">
      <c r="T475" s="6"/>
      <c r="U475" s="7"/>
      <c r="V475" s="1"/>
      <c r="W475" s="1"/>
    </row>
    <row r="476" spans="20:23" ht="15.75" customHeight="1" x14ac:dyDescent="0.25">
      <c r="T476" s="6"/>
      <c r="U476" s="7"/>
      <c r="V476" s="1"/>
      <c r="W476" s="1"/>
    </row>
    <row r="477" spans="20:23" ht="15.75" customHeight="1" x14ac:dyDescent="0.25">
      <c r="T477" s="6"/>
      <c r="U477" s="7"/>
      <c r="V477" s="1"/>
      <c r="W477" s="1"/>
    </row>
    <row r="478" spans="20:23" ht="15.75" customHeight="1" x14ac:dyDescent="0.25">
      <c r="T478" s="6"/>
      <c r="U478" s="7"/>
      <c r="V478" s="1"/>
      <c r="W478" s="1"/>
    </row>
    <row r="479" spans="20:23" ht="15.75" customHeight="1" x14ac:dyDescent="0.25">
      <c r="T479" s="6"/>
      <c r="U479" s="7"/>
      <c r="V479" s="1"/>
      <c r="W479" s="1"/>
    </row>
    <row r="480" spans="20:23" ht="15.75" customHeight="1" x14ac:dyDescent="0.25">
      <c r="T480" s="6"/>
      <c r="U480" s="7"/>
      <c r="V480" s="1"/>
      <c r="W480" s="1"/>
    </row>
    <row r="481" spans="20:23" ht="15.75" customHeight="1" x14ac:dyDescent="0.25">
      <c r="T481" s="6"/>
      <c r="U481" s="7"/>
      <c r="V481" s="1"/>
      <c r="W481" s="1"/>
    </row>
    <row r="482" spans="20:23" ht="15.75" customHeight="1" x14ac:dyDescent="0.25">
      <c r="T482" s="6"/>
      <c r="U482" s="7"/>
      <c r="V482" s="1"/>
      <c r="W482" s="1"/>
    </row>
    <row r="483" spans="20:23" ht="15.75" customHeight="1" x14ac:dyDescent="0.25">
      <c r="T483" s="6"/>
      <c r="U483" s="7"/>
      <c r="V483" s="1"/>
      <c r="W483" s="1"/>
    </row>
    <row r="484" spans="20:23" ht="15.75" customHeight="1" x14ac:dyDescent="0.25">
      <c r="T484" s="6"/>
      <c r="U484" s="7"/>
      <c r="V484" s="1"/>
      <c r="W484" s="1"/>
    </row>
    <row r="485" spans="20:23" ht="15.75" customHeight="1" x14ac:dyDescent="0.25">
      <c r="T485" s="6"/>
      <c r="U485" s="7"/>
      <c r="V485" s="1"/>
      <c r="W485" s="1"/>
    </row>
    <row r="486" spans="20:23" ht="15.75" customHeight="1" x14ac:dyDescent="0.25">
      <c r="T486" s="6"/>
      <c r="U486" s="7"/>
      <c r="V486" s="1"/>
      <c r="W486" s="1"/>
    </row>
    <row r="487" spans="20:23" ht="15.75" customHeight="1" x14ac:dyDescent="0.25">
      <c r="T487" s="6"/>
      <c r="U487" s="7"/>
      <c r="V487" s="1"/>
      <c r="W487" s="1"/>
    </row>
    <row r="488" spans="20:23" ht="15.75" customHeight="1" x14ac:dyDescent="0.25">
      <c r="T488" s="6"/>
      <c r="U488" s="7"/>
      <c r="V488" s="1"/>
      <c r="W488" s="1"/>
    </row>
    <row r="489" spans="20:23" ht="15.75" customHeight="1" x14ac:dyDescent="0.25">
      <c r="T489" s="6"/>
      <c r="U489" s="7"/>
      <c r="V489" s="1"/>
      <c r="W489" s="1"/>
    </row>
    <row r="490" spans="20:23" ht="15.75" customHeight="1" x14ac:dyDescent="0.25">
      <c r="T490" s="6"/>
      <c r="U490" s="7"/>
      <c r="V490" s="1"/>
      <c r="W490" s="1"/>
    </row>
    <row r="491" spans="20:23" ht="15.75" customHeight="1" x14ac:dyDescent="0.25">
      <c r="T491" s="6"/>
      <c r="U491" s="7"/>
      <c r="V491" s="1"/>
      <c r="W491" s="1"/>
    </row>
    <row r="492" spans="20:23" ht="15.75" customHeight="1" x14ac:dyDescent="0.25">
      <c r="T492" s="6"/>
      <c r="U492" s="7"/>
      <c r="V492" s="1"/>
      <c r="W492" s="1"/>
    </row>
    <row r="493" spans="20:23" ht="15.75" customHeight="1" x14ac:dyDescent="0.25">
      <c r="T493" s="6"/>
      <c r="U493" s="7"/>
      <c r="V493" s="1"/>
      <c r="W493" s="1"/>
    </row>
    <row r="494" spans="20:23" ht="15.75" customHeight="1" x14ac:dyDescent="0.25">
      <c r="T494" s="6"/>
      <c r="U494" s="7"/>
      <c r="V494" s="1"/>
      <c r="W494" s="1"/>
    </row>
    <row r="495" spans="20:23" ht="15.75" customHeight="1" x14ac:dyDescent="0.25">
      <c r="T495" s="6"/>
      <c r="U495" s="7"/>
      <c r="V495" s="1"/>
      <c r="W495" s="1"/>
    </row>
    <row r="496" spans="20:23" ht="15.75" customHeight="1" x14ac:dyDescent="0.25">
      <c r="T496" s="6"/>
      <c r="U496" s="7"/>
      <c r="V496" s="1"/>
      <c r="W496" s="1"/>
    </row>
    <row r="497" spans="20:23" ht="15.75" customHeight="1" x14ac:dyDescent="0.25">
      <c r="T497" s="6"/>
      <c r="U497" s="7"/>
      <c r="V497" s="1"/>
      <c r="W497" s="1"/>
    </row>
    <row r="498" spans="20:23" ht="15.75" customHeight="1" x14ac:dyDescent="0.25">
      <c r="T498" s="6"/>
      <c r="U498" s="7"/>
      <c r="V498" s="1"/>
      <c r="W498" s="1"/>
    </row>
    <row r="499" spans="20:23" ht="15.75" customHeight="1" x14ac:dyDescent="0.25">
      <c r="T499" s="6"/>
      <c r="U499" s="7"/>
      <c r="V499" s="1"/>
      <c r="W499" s="1"/>
    </row>
    <row r="500" spans="20:23" ht="15.75" customHeight="1" x14ac:dyDescent="0.25">
      <c r="T500" s="6"/>
      <c r="U500" s="7"/>
      <c r="V500" s="1"/>
      <c r="W500" s="1"/>
    </row>
    <row r="501" spans="20:23" ht="15.75" customHeight="1" x14ac:dyDescent="0.25">
      <c r="T501" s="6"/>
      <c r="U501" s="7"/>
      <c r="V501" s="1"/>
      <c r="W501" s="1"/>
    </row>
    <row r="502" spans="20:23" ht="15.75" customHeight="1" x14ac:dyDescent="0.25">
      <c r="T502" s="6"/>
      <c r="U502" s="7"/>
      <c r="V502" s="1"/>
      <c r="W502" s="1"/>
    </row>
    <row r="503" spans="20:23" ht="15.75" customHeight="1" x14ac:dyDescent="0.25">
      <c r="T503" s="6"/>
      <c r="U503" s="7"/>
      <c r="V503" s="1"/>
      <c r="W503" s="1"/>
    </row>
    <row r="504" spans="20:23" ht="15.75" customHeight="1" x14ac:dyDescent="0.25">
      <c r="T504" s="6"/>
      <c r="U504" s="7"/>
      <c r="V504" s="1"/>
      <c r="W504" s="1"/>
    </row>
    <row r="505" spans="20:23" ht="15.75" customHeight="1" x14ac:dyDescent="0.25">
      <c r="T505" s="6"/>
      <c r="U505" s="7"/>
      <c r="V505" s="1"/>
      <c r="W505" s="1"/>
    </row>
    <row r="506" spans="20:23" ht="15.75" customHeight="1" x14ac:dyDescent="0.25">
      <c r="T506" s="6"/>
      <c r="U506" s="7"/>
      <c r="V506" s="1"/>
      <c r="W506" s="1"/>
    </row>
    <row r="507" spans="20:23" ht="15.75" customHeight="1" x14ac:dyDescent="0.25">
      <c r="T507" s="6"/>
      <c r="U507" s="7"/>
      <c r="V507" s="1"/>
      <c r="W507" s="1"/>
    </row>
    <row r="508" spans="20:23" ht="15.75" customHeight="1" x14ac:dyDescent="0.25">
      <c r="T508" s="6"/>
      <c r="U508" s="7"/>
      <c r="V508" s="1"/>
      <c r="W508" s="1"/>
    </row>
    <row r="509" spans="20:23" ht="15.75" customHeight="1" x14ac:dyDescent="0.25">
      <c r="T509" s="6"/>
      <c r="U509" s="7"/>
      <c r="V509" s="1"/>
      <c r="W509" s="1"/>
    </row>
    <row r="510" spans="20:23" ht="15.75" customHeight="1" x14ac:dyDescent="0.25">
      <c r="T510" s="6"/>
      <c r="U510" s="7"/>
      <c r="V510" s="1"/>
      <c r="W510" s="1"/>
    </row>
    <row r="511" spans="20:23" ht="15.75" customHeight="1" x14ac:dyDescent="0.25">
      <c r="T511" s="6"/>
      <c r="U511" s="7"/>
      <c r="V511" s="1"/>
      <c r="W511" s="1"/>
    </row>
    <row r="512" spans="20:23" ht="15.75" customHeight="1" x14ac:dyDescent="0.25">
      <c r="T512" s="6"/>
      <c r="U512" s="7"/>
      <c r="V512" s="1"/>
      <c r="W512" s="1"/>
    </row>
    <row r="513" spans="20:23" ht="15.75" customHeight="1" x14ac:dyDescent="0.25">
      <c r="T513" s="6"/>
      <c r="U513" s="7"/>
      <c r="V513" s="1"/>
      <c r="W513" s="1"/>
    </row>
    <row r="514" spans="20:23" ht="15.75" customHeight="1" x14ac:dyDescent="0.25">
      <c r="T514" s="6"/>
      <c r="U514" s="7"/>
      <c r="V514" s="1"/>
      <c r="W514" s="1"/>
    </row>
    <row r="515" spans="20:23" ht="15.75" customHeight="1" x14ac:dyDescent="0.25">
      <c r="T515" s="6"/>
      <c r="U515" s="7"/>
      <c r="V515" s="1"/>
      <c r="W515" s="1"/>
    </row>
    <row r="516" spans="20:23" ht="15.75" customHeight="1" x14ac:dyDescent="0.25">
      <c r="T516" s="6"/>
      <c r="U516" s="7"/>
      <c r="V516" s="1"/>
      <c r="W516" s="1"/>
    </row>
    <row r="517" spans="20:23" ht="15.75" customHeight="1" x14ac:dyDescent="0.25">
      <c r="T517" s="6"/>
      <c r="U517" s="7"/>
      <c r="V517" s="1"/>
      <c r="W517" s="1"/>
    </row>
    <row r="518" spans="20:23" ht="15.75" customHeight="1" x14ac:dyDescent="0.25">
      <c r="T518" s="6"/>
      <c r="U518" s="7"/>
      <c r="V518" s="1"/>
      <c r="W518" s="1"/>
    </row>
    <row r="519" spans="20:23" ht="15.75" customHeight="1" x14ac:dyDescent="0.25">
      <c r="T519" s="6"/>
      <c r="U519" s="7"/>
      <c r="V519" s="1"/>
      <c r="W519" s="1"/>
    </row>
    <row r="520" spans="20:23" ht="15.75" customHeight="1" x14ac:dyDescent="0.25">
      <c r="T520" s="6"/>
      <c r="U520" s="7"/>
      <c r="V520" s="1"/>
      <c r="W520" s="1"/>
    </row>
    <row r="521" spans="20:23" ht="15.75" customHeight="1" x14ac:dyDescent="0.25">
      <c r="T521" s="6"/>
      <c r="U521" s="7"/>
      <c r="V521" s="1"/>
      <c r="W521" s="1"/>
    </row>
    <row r="522" spans="20:23" ht="15.75" customHeight="1" x14ac:dyDescent="0.25">
      <c r="T522" s="6"/>
      <c r="U522" s="7"/>
      <c r="V522" s="1"/>
      <c r="W522" s="1"/>
    </row>
    <row r="523" spans="20:23" ht="15.75" customHeight="1" x14ac:dyDescent="0.25">
      <c r="T523" s="6"/>
      <c r="U523" s="7"/>
      <c r="V523" s="1"/>
      <c r="W523" s="1"/>
    </row>
    <row r="524" spans="20:23" ht="15.75" customHeight="1" x14ac:dyDescent="0.25">
      <c r="T524" s="6"/>
      <c r="U524" s="7"/>
      <c r="V524" s="1"/>
      <c r="W524" s="1"/>
    </row>
    <row r="525" spans="20:23" ht="15.75" customHeight="1" x14ac:dyDescent="0.25">
      <c r="T525" s="6"/>
      <c r="U525" s="7"/>
      <c r="V525" s="1"/>
      <c r="W525" s="1"/>
    </row>
    <row r="526" spans="20:23" ht="15.75" customHeight="1" x14ac:dyDescent="0.25">
      <c r="T526" s="6"/>
      <c r="U526" s="7"/>
      <c r="V526" s="1"/>
      <c r="W526" s="1"/>
    </row>
    <row r="527" spans="20:23" ht="15.75" customHeight="1" x14ac:dyDescent="0.25">
      <c r="T527" s="6"/>
      <c r="U527" s="7"/>
      <c r="V527" s="1"/>
      <c r="W527" s="1"/>
    </row>
    <row r="528" spans="20:23" ht="15.75" customHeight="1" x14ac:dyDescent="0.25">
      <c r="T528" s="6"/>
      <c r="U528" s="7"/>
      <c r="V528" s="1"/>
      <c r="W528" s="1"/>
    </row>
    <row r="529" spans="20:23" ht="15.75" customHeight="1" x14ac:dyDescent="0.25">
      <c r="T529" s="6"/>
      <c r="U529" s="7"/>
      <c r="V529" s="1"/>
      <c r="W529" s="1"/>
    </row>
    <row r="530" spans="20:23" ht="15.75" customHeight="1" x14ac:dyDescent="0.25">
      <c r="T530" s="6"/>
      <c r="U530" s="7"/>
      <c r="V530" s="1"/>
      <c r="W530" s="1"/>
    </row>
    <row r="531" spans="20:23" ht="15.75" customHeight="1" x14ac:dyDescent="0.25">
      <c r="T531" s="6"/>
      <c r="U531" s="7"/>
      <c r="V531" s="1"/>
      <c r="W531" s="1"/>
    </row>
    <row r="532" spans="20:23" ht="15.75" customHeight="1" x14ac:dyDescent="0.25">
      <c r="T532" s="6"/>
      <c r="U532" s="7"/>
      <c r="V532" s="1"/>
      <c r="W532" s="1"/>
    </row>
    <row r="533" spans="20:23" ht="15.75" customHeight="1" x14ac:dyDescent="0.25">
      <c r="T533" s="6"/>
      <c r="U533" s="7"/>
      <c r="V533" s="1"/>
      <c r="W533" s="1"/>
    </row>
    <row r="534" spans="20:23" ht="15.75" customHeight="1" x14ac:dyDescent="0.25">
      <c r="T534" s="6"/>
      <c r="U534" s="7"/>
      <c r="V534" s="1"/>
      <c r="W534" s="1"/>
    </row>
    <row r="535" spans="20:23" ht="15.75" customHeight="1" x14ac:dyDescent="0.25">
      <c r="T535" s="6"/>
      <c r="U535" s="7"/>
      <c r="V535" s="1"/>
      <c r="W535" s="1"/>
    </row>
    <row r="536" spans="20:23" ht="15.75" customHeight="1" x14ac:dyDescent="0.25">
      <c r="T536" s="6"/>
      <c r="U536" s="7"/>
      <c r="V536" s="1"/>
      <c r="W536" s="1"/>
    </row>
    <row r="537" spans="20:23" ht="15.75" customHeight="1" x14ac:dyDescent="0.25">
      <c r="T537" s="6"/>
      <c r="U537" s="7"/>
      <c r="V537" s="1"/>
      <c r="W537" s="1"/>
    </row>
    <row r="538" spans="20:23" ht="15.75" customHeight="1" x14ac:dyDescent="0.25">
      <c r="T538" s="6"/>
      <c r="U538" s="7"/>
      <c r="V538" s="1"/>
      <c r="W538" s="1"/>
    </row>
    <row r="539" spans="20:23" ht="15.75" customHeight="1" x14ac:dyDescent="0.25">
      <c r="T539" s="6"/>
      <c r="U539" s="7"/>
      <c r="V539" s="1"/>
      <c r="W539" s="1"/>
    </row>
    <row r="540" spans="20:23" ht="15.75" customHeight="1" x14ac:dyDescent="0.25">
      <c r="T540" s="6"/>
      <c r="U540" s="7"/>
      <c r="V540" s="1"/>
      <c r="W540" s="1"/>
    </row>
    <row r="541" spans="20:23" ht="15.75" customHeight="1" x14ac:dyDescent="0.25">
      <c r="T541" s="6"/>
      <c r="U541" s="7"/>
      <c r="V541" s="1"/>
      <c r="W541" s="1"/>
    </row>
    <row r="542" spans="20:23" ht="15.75" customHeight="1" x14ac:dyDescent="0.25">
      <c r="T542" s="6"/>
      <c r="U542" s="7"/>
      <c r="V542" s="1"/>
      <c r="W542" s="1"/>
    </row>
    <row r="543" spans="20:23" ht="15.75" customHeight="1" x14ac:dyDescent="0.25">
      <c r="T543" s="6"/>
      <c r="U543" s="7"/>
      <c r="V543" s="1"/>
      <c r="W543" s="1"/>
    </row>
    <row r="544" spans="20:23" ht="15.75" customHeight="1" x14ac:dyDescent="0.25">
      <c r="T544" s="6"/>
      <c r="U544" s="7"/>
      <c r="V544" s="1"/>
      <c r="W544" s="1"/>
    </row>
    <row r="545" spans="20:23" ht="15.75" customHeight="1" x14ac:dyDescent="0.25">
      <c r="T545" s="6"/>
      <c r="U545" s="7"/>
      <c r="V545" s="1"/>
      <c r="W545" s="1"/>
    </row>
    <row r="546" spans="20:23" ht="15.75" customHeight="1" x14ac:dyDescent="0.25">
      <c r="T546" s="6"/>
      <c r="U546" s="7"/>
      <c r="V546" s="1"/>
      <c r="W546" s="1"/>
    </row>
    <row r="547" spans="20:23" ht="15.75" customHeight="1" x14ac:dyDescent="0.25">
      <c r="T547" s="6"/>
      <c r="U547" s="7"/>
      <c r="V547" s="1"/>
      <c r="W547" s="1"/>
    </row>
    <row r="548" spans="20:23" ht="15.75" customHeight="1" x14ac:dyDescent="0.25">
      <c r="T548" s="6"/>
      <c r="U548" s="7"/>
      <c r="V548" s="1"/>
      <c r="W548" s="1"/>
    </row>
    <row r="549" spans="20:23" ht="15.75" customHeight="1" x14ac:dyDescent="0.25">
      <c r="T549" s="6"/>
      <c r="U549" s="7"/>
      <c r="V549" s="1"/>
      <c r="W549" s="1"/>
    </row>
    <row r="550" spans="20:23" ht="15.75" customHeight="1" x14ac:dyDescent="0.25">
      <c r="T550" s="6"/>
      <c r="U550" s="7"/>
      <c r="V550" s="1"/>
      <c r="W550" s="1"/>
    </row>
    <row r="551" spans="20:23" ht="15.75" customHeight="1" x14ac:dyDescent="0.25">
      <c r="T551" s="6"/>
      <c r="U551" s="7"/>
      <c r="V551" s="1"/>
      <c r="W551" s="1"/>
    </row>
    <row r="552" spans="20:23" ht="15.75" customHeight="1" x14ac:dyDescent="0.25">
      <c r="T552" s="6"/>
      <c r="U552" s="7"/>
      <c r="V552" s="1"/>
      <c r="W552" s="1"/>
    </row>
    <row r="553" spans="20:23" ht="15.75" customHeight="1" x14ac:dyDescent="0.25">
      <c r="T553" s="6"/>
      <c r="U553" s="7"/>
      <c r="V553" s="1"/>
      <c r="W553" s="1"/>
    </row>
    <row r="554" spans="20:23" ht="15.75" customHeight="1" x14ac:dyDescent="0.25">
      <c r="T554" s="6"/>
      <c r="U554" s="7"/>
      <c r="V554" s="1"/>
      <c r="W554" s="1"/>
    </row>
    <row r="555" spans="20:23" ht="15.75" customHeight="1" x14ac:dyDescent="0.25">
      <c r="T555" s="6"/>
      <c r="U555" s="7"/>
      <c r="V555" s="1"/>
      <c r="W555" s="1"/>
    </row>
    <row r="556" spans="20:23" ht="15.75" customHeight="1" x14ac:dyDescent="0.25">
      <c r="T556" s="6"/>
      <c r="U556" s="7"/>
      <c r="V556" s="1"/>
      <c r="W556" s="1"/>
    </row>
    <row r="557" spans="20:23" ht="15.75" customHeight="1" x14ac:dyDescent="0.25">
      <c r="T557" s="6"/>
      <c r="U557" s="7"/>
      <c r="V557" s="1"/>
      <c r="W557" s="1"/>
    </row>
    <row r="558" spans="20:23" ht="15.75" customHeight="1" x14ac:dyDescent="0.25">
      <c r="T558" s="6"/>
      <c r="U558" s="7"/>
      <c r="V558" s="1"/>
      <c r="W558" s="1"/>
    </row>
    <row r="559" spans="20:23" ht="15.75" customHeight="1" x14ac:dyDescent="0.25">
      <c r="T559" s="6"/>
      <c r="U559" s="7"/>
      <c r="V559" s="1"/>
      <c r="W559" s="1"/>
    </row>
    <row r="560" spans="20:23" ht="15.75" customHeight="1" x14ac:dyDescent="0.25">
      <c r="T560" s="6"/>
      <c r="U560" s="7"/>
      <c r="V560" s="1"/>
      <c r="W560" s="1"/>
    </row>
    <row r="561" spans="20:23" ht="15.75" customHeight="1" x14ac:dyDescent="0.25">
      <c r="T561" s="6"/>
      <c r="U561" s="7"/>
      <c r="V561" s="1"/>
      <c r="W561" s="1"/>
    </row>
    <row r="562" spans="20:23" ht="15.75" customHeight="1" x14ac:dyDescent="0.25">
      <c r="T562" s="6"/>
      <c r="U562" s="7"/>
      <c r="V562" s="1"/>
      <c r="W562" s="1"/>
    </row>
    <row r="563" spans="20:23" ht="15.75" customHeight="1" x14ac:dyDescent="0.25">
      <c r="T563" s="6"/>
      <c r="U563" s="7"/>
      <c r="V563" s="1"/>
      <c r="W563" s="1"/>
    </row>
    <row r="564" spans="20:23" ht="15.75" customHeight="1" x14ac:dyDescent="0.25">
      <c r="T564" s="6"/>
      <c r="U564" s="7"/>
      <c r="V564" s="1"/>
      <c r="W564" s="1"/>
    </row>
    <row r="565" spans="20:23" ht="15.75" customHeight="1" x14ac:dyDescent="0.25">
      <c r="T565" s="6"/>
      <c r="U565" s="7"/>
      <c r="V565" s="1"/>
      <c r="W565" s="1"/>
    </row>
    <row r="566" spans="20:23" ht="15.75" customHeight="1" x14ac:dyDescent="0.25">
      <c r="T566" s="6"/>
      <c r="U566" s="7"/>
      <c r="V566" s="1"/>
      <c r="W566" s="1"/>
    </row>
    <row r="567" spans="20:23" ht="15.75" customHeight="1" x14ac:dyDescent="0.25">
      <c r="T567" s="6"/>
      <c r="U567" s="7"/>
      <c r="V567" s="1"/>
      <c r="W567" s="1"/>
    </row>
    <row r="568" spans="20:23" ht="15.75" customHeight="1" x14ac:dyDescent="0.25">
      <c r="T568" s="6"/>
      <c r="U568" s="7"/>
      <c r="V568" s="1"/>
      <c r="W568" s="1"/>
    </row>
    <row r="569" spans="20:23" ht="15.75" customHeight="1" x14ac:dyDescent="0.25">
      <c r="T569" s="6"/>
      <c r="U569" s="7"/>
      <c r="V569" s="1"/>
      <c r="W569" s="1"/>
    </row>
    <row r="570" spans="20:23" ht="15.75" customHeight="1" x14ac:dyDescent="0.25">
      <c r="T570" s="6"/>
      <c r="U570" s="7"/>
      <c r="V570" s="1"/>
      <c r="W570" s="1"/>
    </row>
    <row r="571" spans="20:23" ht="15.75" customHeight="1" x14ac:dyDescent="0.25">
      <c r="T571" s="6"/>
      <c r="U571" s="7"/>
      <c r="V571" s="1"/>
      <c r="W571" s="1"/>
    </row>
    <row r="572" spans="20:23" ht="15.75" customHeight="1" x14ac:dyDescent="0.25">
      <c r="T572" s="6"/>
      <c r="U572" s="7"/>
      <c r="V572" s="1"/>
      <c r="W572" s="1"/>
    </row>
    <row r="573" spans="20:23" ht="15.75" customHeight="1" x14ac:dyDescent="0.25">
      <c r="T573" s="6"/>
      <c r="U573" s="7"/>
      <c r="V573" s="1"/>
      <c r="W573" s="1"/>
    </row>
    <row r="574" spans="20:23" ht="15.75" customHeight="1" x14ac:dyDescent="0.25">
      <c r="T574" s="6"/>
      <c r="U574" s="7"/>
      <c r="V574" s="1"/>
      <c r="W574" s="1"/>
    </row>
    <row r="575" spans="20:23" ht="15.75" customHeight="1" x14ac:dyDescent="0.25">
      <c r="T575" s="6"/>
      <c r="U575" s="7"/>
      <c r="V575" s="1"/>
      <c r="W575" s="1"/>
    </row>
    <row r="576" spans="20:23" ht="15.75" customHeight="1" x14ac:dyDescent="0.25">
      <c r="T576" s="6"/>
      <c r="U576" s="7"/>
      <c r="V576" s="1"/>
      <c r="W576" s="1"/>
    </row>
    <row r="577" spans="20:23" ht="15.75" customHeight="1" x14ac:dyDescent="0.25">
      <c r="T577" s="6"/>
      <c r="U577" s="7"/>
      <c r="V577" s="1"/>
      <c r="W577" s="1"/>
    </row>
    <row r="578" spans="20:23" ht="15.75" customHeight="1" x14ac:dyDescent="0.25">
      <c r="T578" s="6"/>
      <c r="U578" s="7"/>
      <c r="V578" s="1"/>
      <c r="W578" s="1"/>
    </row>
    <row r="579" spans="20:23" ht="15.75" customHeight="1" x14ac:dyDescent="0.25">
      <c r="T579" s="6"/>
      <c r="U579" s="7"/>
      <c r="V579" s="1"/>
      <c r="W579" s="1"/>
    </row>
    <row r="580" spans="20:23" ht="15.75" customHeight="1" x14ac:dyDescent="0.25">
      <c r="T580" s="6"/>
      <c r="U580" s="7"/>
      <c r="V580" s="1"/>
      <c r="W580" s="1"/>
    </row>
    <row r="581" spans="20:23" ht="15.75" customHeight="1" x14ac:dyDescent="0.25">
      <c r="T581" s="6"/>
      <c r="U581" s="7"/>
      <c r="V581" s="1"/>
      <c r="W581" s="1"/>
    </row>
    <row r="582" spans="20:23" ht="15.75" customHeight="1" x14ac:dyDescent="0.25">
      <c r="T582" s="6"/>
      <c r="U582" s="7"/>
      <c r="V582" s="1"/>
      <c r="W582" s="1"/>
    </row>
    <row r="583" spans="20:23" ht="15.75" customHeight="1" x14ac:dyDescent="0.25">
      <c r="T583" s="6"/>
      <c r="U583" s="7"/>
      <c r="V583" s="1"/>
      <c r="W583" s="1"/>
    </row>
    <row r="584" spans="20:23" ht="15.75" customHeight="1" x14ac:dyDescent="0.25">
      <c r="T584" s="6"/>
      <c r="U584" s="7"/>
      <c r="V584" s="1"/>
      <c r="W584" s="1"/>
    </row>
    <row r="585" spans="20:23" ht="15.75" customHeight="1" x14ac:dyDescent="0.25">
      <c r="T585" s="6"/>
      <c r="U585" s="7"/>
      <c r="V585" s="1"/>
      <c r="W585" s="1"/>
    </row>
    <row r="586" spans="20:23" ht="15.75" customHeight="1" x14ac:dyDescent="0.25">
      <c r="T586" s="6"/>
      <c r="U586" s="7"/>
      <c r="V586" s="1"/>
      <c r="W586" s="1"/>
    </row>
    <row r="587" spans="20:23" ht="15.75" customHeight="1" x14ac:dyDescent="0.25">
      <c r="T587" s="6"/>
      <c r="U587" s="7"/>
      <c r="V587" s="1"/>
      <c r="W587" s="1"/>
    </row>
    <row r="588" spans="20:23" ht="15.75" customHeight="1" x14ac:dyDescent="0.25">
      <c r="T588" s="6"/>
      <c r="U588" s="7"/>
      <c r="V588" s="1"/>
      <c r="W588" s="1"/>
    </row>
    <row r="589" spans="20:23" ht="15.75" customHeight="1" x14ac:dyDescent="0.25">
      <c r="T589" s="6"/>
      <c r="U589" s="7"/>
      <c r="V589" s="1"/>
      <c r="W589" s="1"/>
    </row>
    <row r="590" spans="20:23" ht="15.75" customHeight="1" x14ac:dyDescent="0.25">
      <c r="T590" s="6"/>
      <c r="U590" s="7"/>
      <c r="V590" s="1"/>
      <c r="W590" s="1"/>
    </row>
    <row r="591" spans="20:23" ht="15.75" customHeight="1" x14ac:dyDescent="0.25">
      <c r="T591" s="6"/>
      <c r="U591" s="7"/>
      <c r="V591" s="1"/>
      <c r="W591" s="1"/>
    </row>
    <row r="592" spans="20:23" ht="15.75" customHeight="1" x14ac:dyDescent="0.25">
      <c r="T592" s="6"/>
      <c r="U592" s="7"/>
      <c r="V592" s="1"/>
      <c r="W592" s="1"/>
    </row>
    <row r="593" spans="20:23" ht="15.75" customHeight="1" x14ac:dyDescent="0.25">
      <c r="T593" s="6"/>
      <c r="U593" s="7"/>
      <c r="V593" s="1"/>
      <c r="W593" s="1"/>
    </row>
    <row r="594" spans="20:23" ht="15.75" customHeight="1" x14ac:dyDescent="0.25">
      <c r="T594" s="6"/>
      <c r="U594" s="7"/>
      <c r="V594" s="1"/>
      <c r="W594" s="1"/>
    </row>
    <row r="595" spans="20:23" ht="15.75" customHeight="1" x14ac:dyDescent="0.25">
      <c r="T595" s="6"/>
      <c r="U595" s="7"/>
      <c r="V595" s="1"/>
      <c r="W595" s="1"/>
    </row>
    <row r="596" spans="20:23" ht="15.75" customHeight="1" x14ac:dyDescent="0.25">
      <c r="T596" s="6"/>
      <c r="U596" s="7"/>
      <c r="V596" s="1"/>
      <c r="W596" s="1"/>
    </row>
    <row r="597" spans="20:23" ht="15.75" customHeight="1" x14ac:dyDescent="0.25">
      <c r="T597" s="6"/>
      <c r="U597" s="7"/>
      <c r="V597" s="1"/>
      <c r="W597" s="1"/>
    </row>
    <row r="598" spans="20:23" ht="15.75" customHeight="1" x14ac:dyDescent="0.25">
      <c r="T598" s="6"/>
      <c r="U598" s="7"/>
      <c r="V598" s="1"/>
      <c r="W598" s="1"/>
    </row>
    <row r="599" spans="20:23" ht="15.75" customHeight="1" x14ac:dyDescent="0.25">
      <c r="T599" s="6"/>
      <c r="U599" s="7"/>
      <c r="V599" s="1"/>
      <c r="W599" s="1"/>
    </row>
    <row r="600" spans="20:23" ht="15.75" customHeight="1" x14ac:dyDescent="0.25">
      <c r="T600" s="6"/>
      <c r="U600" s="7"/>
      <c r="V600" s="1"/>
      <c r="W600" s="1"/>
    </row>
    <row r="601" spans="20:23" ht="15.75" customHeight="1" x14ac:dyDescent="0.25">
      <c r="T601" s="6"/>
      <c r="U601" s="7"/>
      <c r="V601" s="1"/>
      <c r="W601" s="1"/>
    </row>
    <row r="602" spans="20:23" ht="15.75" customHeight="1" x14ac:dyDescent="0.25">
      <c r="T602" s="6"/>
      <c r="U602" s="7"/>
      <c r="V602" s="1"/>
      <c r="W602" s="1"/>
    </row>
    <row r="603" spans="20:23" ht="15.75" customHeight="1" x14ac:dyDescent="0.25">
      <c r="T603" s="6"/>
      <c r="U603" s="7"/>
      <c r="V603" s="1"/>
      <c r="W603" s="1"/>
    </row>
    <row r="604" spans="20:23" ht="15.75" customHeight="1" x14ac:dyDescent="0.25">
      <c r="T604" s="6"/>
      <c r="U604" s="7"/>
      <c r="V604" s="1"/>
      <c r="W604" s="1"/>
    </row>
    <row r="605" spans="20:23" ht="15.75" customHeight="1" x14ac:dyDescent="0.25">
      <c r="T605" s="6"/>
      <c r="U605" s="7"/>
      <c r="V605" s="1"/>
      <c r="W605" s="1"/>
    </row>
    <row r="606" spans="20:23" ht="15.75" customHeight="1" x14ac:dyDescent="0.25">
      <c r="T606" s="6"/>
      <c r="U606" s="7"/>
      <c r="V606" s="1"/>
      <c r="W606" s="1"/>
    </row>
    <row r="607" spans="20:23" ht="15.75" customHeight="1" x14ac:dyDescent="0.25">
      <c r="T607" s="6"/>
      <c r="U607" s="7"/>
      <c r="V607" s="1"/>
      <c r="W607" s="1"/>
    </row>
    <row r="608" spans="20:23" ht="15.75" customHeight="1" x14ac:dyDescent="0.25">
      <c r="T608" s="6"/>
      <c r="U608" s="7"/>
      <c r="V608" s="1"/>
      <c r="W608" s="1"/>
    </row>
    <row r="609" spans="20:23" ht="15.75" customHeight="1" x14ac:dyDescent="0.25">
      <c r="T609" s="6"/>
      <c r="U609" s="7"/>
      <c r="V609" s="1"/>
      <c r="W609" s="1"/>
    </row>
    <row r="610" spans="20:23" ht="15.75" customHeight="1" x14ac:dyDescent="0.25">
      <c r="T610" s="6"/>
      <c r="U610" s="7"/>
      <c r="V610" s="1"/>
      <c r="W610" s="1"/>
    </row>
    <row r="611" spans="20:23" ht="15.75" customHeight="1" x14ac:dyDescent="0.25">
      <c r="T611" s="6"/>
      <c r="U611" s="7"/>
      <c r="V611" s="1"/>
      <c r="W611" s="1"/>
    </row>
    <row r="612" spans="20:23" ht="15.75" customHeight="1" x14ac:dyDescent="0.25">
      <c r="T612" s="6"/>
      <c r="U612" s="7"/>
      <c r="V612" s="1"/>
      <c r="W612" s="1"/>
    </row>
    <row r="613" spans="20:23" ht="15.75" customHeight="1" x14ac:dyDescent="0.25">
      <c r="T613" s="6"/>
      <c r="U613" s="7"/>
      <c r="V613" s="1"/>
      <c r="W613" s="1"/>
    </row>
    <row r="614" spans="20:23" ht="15.75" customHeight="1" x14ac:dyDescent="0.25">
      <c r="T614" s="6"/>
      <c r="U614" s="7"/>
      <c r="V614" s="1"/>
      <c r="W614" s="1"/>
    </row>
    <row r="615" spans="20:23" ht="15.75" customHeight="1" x14ac:dyDescent="0.25">
      <c r="T615" s="6"/>
      <c r="U615" s="7"/>
      <c r="V615" s="1"/>
      <c r="W615" s="1"/>
    </row>
    <row r="616" spans="20:23" ht="15.75" customHeight="1" x14ac:dyDescent="0.25">
      <c r="T616" s="6"/>
      <c r="U616" s="7"/>
      <c r="V616" s="1"/>
      <c r="W616" s="1"/>
    </row>
    <row r="617" spans="20:23" ht="15.75" customHeight="1" x14ac:dyDescent="0.25">
      <c r="T617" s="6"/>
      <c r="U617" s="7"/>
      <c r="V617" s="1"/>
      <c r="W617" s="1"/>
    </row>
    <row r="618" spans="20:23" ht="15.75" customHeight="1" x14ac:dyDescent="0.25">
      <c r="T618" s="6"/>
      <c r="U618" s="7"/>
      <c r="V618" s="1"/>
      <c r="W618" s="1"/>
    </row>
    <row r="619" spans="20:23" ht="15.75" customHeight="1" x14ac:dyDescent="0.25">
      <c r="T619" s="6"/>
      <c r="U619" s="7"/>
      <c r="V619" s="1"/>
      <c r="W619" s="1"/>
    </row>
    <row r="620" spans="20:23" ht="15.75" customHeight="1" x14ac:dyDescent="0.25">
      <c r="T620" s="6"/>
      <c r="U620" s="7"/>
      <c r="V620" s="1"/>
      <c r="W620" s="1"/>
    </row>
    <row r="621" spans="20:23" ht="15.75" customHeight="1" x14ac:dyDescent="0.25">
      <c r="T621" s="6"/>
      <c r="U621" s="7"/>
      <c r="V621" s="1"/>
      <c r="W621" s="1"/>
    </row>
    <row r="622" spans="20:23" ht="15.75" customHeight="1" x14ac:dyDescent="0.25">
      <c r="T622" s="6"/>
      <c r="U622" s="7"/>
      <c r="V622" s="1"/>
      <c r="W622" s="1"/>
    </row>
    <row r="623" spans="20:23" ht="15.75" customHeight="1" x14ac:dyDescent="0.25">
      <c r="T623" s="6"/>
      <c r="U623" s="7"/>
      <c r="V623" s="1"/>
      <c r="W623" s="1"/>
    </row>
    <row r="624" spans="20:23" ht="15.75" customHeight="1" x14ac:dyDescent="0.25">
      <c r="T624" s="6"/>
      <c r="U624" s="7"/>
      <c r="V624" s="1"/>
      <c r="W624" s="1"/>
    </row>
    <row r="625" spans="20:23" ht="15.75" customHeight="1" x14ac:dyDescent="0.25">
      <c r="T625" s="6"/>
      <c r="U625" s="7"/>
      <c r="V625" s="1"/>
      <c r="W625" s="1"/>
    </row>
    <row r="626" spans="20:23" ht="15.75" customHeight="1" x14ac:dyDescent="0.25">
      <c r="T626" s="6"/>
      <c r="U626" s="7"/>
      <c r="V626" s="1"/>
      <c r="W626" s="1"/>
    </row>
    <row r="627" spans="20:23" ht="15.75" customHeight="1" x14ac:dyDescent="0.25">
      <c r="T627" s="6"/>
      <c r="U627" s="7"/>
      <c r="V627" s="1"/>
      <c r="W627" s="1"/>
    </row>
    <row r="628" spans="20:23" ht="15.75" customHeight="1" x14ac:dyDescent="0.25">
      <c r="T628" s="6"/>
      <c r="U628" s="7"/>
      <c r="V628" s="1"/>
      <c r="W628" s="1"/>
    </row>
    <row r="629" spans="20:23" ht="15.75" customHeight="1" x14ac:dyDescent="0.25">
      <c r="T629" s="6"/>
      <c r="U629" s="7"/>
      <c r="V629" s="1"/>
      <c r="W629" s="1"/>
    </row>
    <row r="630" spans="20:23" ht="15.75" customHeight="1" x14ac:dyDescent="0.25">
      <c r="T630" s="6"/>
      <c r="U630" s="7"/>
      <c r="V630" s="1"/>
      <c r="W630" s="1"/>
    </row>
    <row r="631" spans="20:23" ht="15.75" customHeight="1" x14ac:dyDescent="0.25">
      <c r="T631" s="6"/>
      <c r="U631" s="7"/>
      <c r="V631" s="1"/>
      <c r="W631" s="1"/>
    </row>
    <row r="632" spans="20:23" ht="15.75" customHeight="1" x14ac:dyDescent="0.25">
      <c r="T632" s="6"/>
      <c r="U632" s="7"/>
      <c r="V632" s="1"/>
      <c r="W632" s="1"/>
    </row>
    <row r="633" spans="20:23" ht="15.75" customHeight="1" x14ac:dyDescent="0.25">
      <c r="T633" s="6"/>
      <c r="U633" s="7"/>
      <c r="V633" s="1"/>
      <c r="W633" s="1"/>
    </row>
    <row r="634" spans="20:23" ht="15.75" customHeight="1" x14ac:dyDescent="0.25">
      <c r="T634" s="6"/>
      <c r="U634" s="7"/>
      <c r="V634" s="1"/>
      <c r="W634" s="1"/>
    </row>
    <row r="635" spans="20:23" ht="15.75" customHeight="1" x14ac:dyDescent="0.25">
      <c r="T635" s="6"/>
      <c r="U635" s="7"/>
      <c r="V635" s="1"/>
      <c r="W635" s="1"/>
    </row>
    <row r="636" spans="20:23" ht="15.75" customHeight="1" x14ac:dyDescent="0.25">
      <c r="T636" s="6"/>
      <c r="U636" s="7"/>
      <c r="V636" s="1"/>
      <c r="W636" s="1"/>
    </row>
    <row r="637" spans="20:23" ht="15.75" customHeight="1" x14ac:dyDescent="0.25">
      <c r="T637" s="6"/>
      <c r="U637" s="7"/>
      <c r="V637" s="1"/>
      <c r="W637" s="1"/>
    </row>
    <row r="638" spans="20:23" ht="15.75" customHeight="1" x14ac:dyDescent="0.25">
      <c r="T638" s="6"/>
      <c r="U638" s="7"/>
      <c r="V638" s="1"/>
      <c r="W638" s="1"/>
    </row>
    <row r="639" spans="20:23" ht="15.75" customHeight="1" x14ac:dyDescent="0.25">
      <c r="T639" s="6"/>
      <c r="U639" s="7"/>
      <c r="V639" s="1"/>
      <c r="W639" s="1"/>
    </row>
    <row r="640" spans="20:23" ht="15.75" customHeight="1" x14ac:dyDescent="0.25">
      <c r="T640" s="6"/>
      <c r="U640" s="7"/>
      <c r="V640" s="1"/>
      <c r="W640" s="1"/>
    </row>
    <row r="641" spans="20:23" ht="15.75" customHeight="1" x14ac:dyDescent="0.25">
      <c r="T641" s="6"/>
      <c r="U641" s="7"/>
      <c r="V641" s="1"/>
      <c r="W641" s="1"/>
    </row>
    <row r="642" spans="20:23" ht="15.75" customHeight="1" x14ac:dyDescent="0.25">
      <c r="T642" s="6"/>
      <c r="U642" s="7"/>
      <c r="V642" s="1"/>
      <c r="W642" s="1"/>
    </row>
    <row r="643" spans="20:23" ht="15.75" customHeight="1" x14ac:dyDescent="0.25">
      <c r="T643" s="6"/>
      <c r="U643" s="7"/>
      <c r="V643" s="1"/>
      <c r="W643" s="1"/>
    </row>
    <row r="644" spans="20:23" ht="15.75" customHeight="1" x14ac:dyDescent="0.25">
      <c r="T644" s="6"/>
      <c r="U644" s="7"/>
      <c r="V644" s="1"/>
      <c r="W644" s="1"/>
    </row>
    <row r="645" spans="20:23" ht="15.75" customHeight="1" x14ac:dyDescent="0.25">
      <c r="T645" s="6"/>
      <c r="U645" s="7"/>
      <c r="V645" s="1"/>
      <c r="W645" s="1"/>
    </row>
    <row r="646" spans="20:23" ht="15.75" customHeight="1" x14ac:dyDescent="0.25">
      <c r="T646" s="6"/>
      <c r="U646" s="7"/>
      <c r="V646" s="1"/>
      <c r="W646" s="1"/>
    </row>
    <row r="647" spans="20:23" ht="15.75" customHeight="1" x14ac:dyDescent="0.25">
      <c r="T647" s="6"/>
      <c r="U647" s="7"/>
      <c r="V647" s="1"/>
      <c r="W647" s="1"/>
    </row>
    <row r="648" spans="20:23" ht="15.75" customHeight="1" x14ac:dyDescent="0.25">
      <c r="T648" s="6"/>
      <c r="U648" s="7"/>
      <c r="V648" s="1"/>
      <c r="W648" s="1"/>
    </row>
    <row r="649" spans="20:23" ht="15.75" customHeight="1" x14ac:dyDescent="0.25">
      <c r="T649" s="6"/>
      <c r="U649" s="7"/>
      <c r="V649" s="1"/>
      <c r="W649" s="1"/>
    </row>
    <row r="650" spans="20:23" ht="15.75" customHeight="1" x14ac:dyDescent="0.25">
      <c r="T650" s="6"/>
      <c r="U650" s="7"/>
      <c r="V650" s="1"/>
      <c r="W650" s="1"/>
    </row>
    <row r="651" spans="20:23" ht="15.75" customHeight="1" x14ac:dyDescent="0.25">
      <c r="T651" s="6"/>
      <c r="U651" s="7"/>
      <c r="V651" s="1"/>
      <c r="W651" s="1"/>
    </row>
    <row r="652" spans="20:23" ht="15.75" customHeight="1" x14ac:dyDescent="0.25">
      <c r="T652" s="6"/>
      <c r="U652" s="7"/>
      <c r="V652" s="1"/>
      <c r="W652" s="1"/>
    </row>
    <row r="653" spans="20:23" ht="15.75" customHeight="1" x14ac:dyDescent="0.25">
      <c r="T653" s="6"/>
      <c r="U653" s="7"/>
      <c r="V653" s="1"/>
      <c r="W653" s="1"/>
    </row>
    <row r="654" spans="20:23" ht="15.75" customHeight="1" x14ac:dyDescent="0.25">
      <c r="T654" s="6"/>
      <c r="U654" s="7"/>
      <c r="V654" s="1"/>
      <c r="W654" s="1"/>
    </row>
    <row r="655" spans="20:23" ht="15.75" customHeight="1" x14ac:dyDescent="0.25">
      <c r="T655" s="6"/>
      <c r="U655" s="7"/>
      <c r="V655" s="1"/>
      <c r="W655" s="1"/>
    </row>
    <row r="656" spans="20:23" ht="15.75" customHeight="1" x14ac:dyDescent="0.25">
      <c r="T656" s="6"/>
      <c r="U656" s="7"/>
      <c r="V656" s="1"/>
      <c r="W656" s="1"/>
    </row>
    <row r="657" spans="20:23" ht="15.75" customHeight="1" x14ac:dyDescent="0.25">
      <c r="T657" s="6"/>
      <c r="U657" s="7"/>
      <c r="V657" s="1"/>
      <c r="W657" s="1"/>
    </row>
    <row r="658" spans="20:23" ht="15.75" customHeight="1" x14ac:dyDescent="0.25">
      <c r="T658" s="6"/>
      <c r="U658" s="7"/>
      <c r="V658" s="1"/>
      <c r="W658" s="1"/>
    </row>
    <row r="659" spans="20:23" ht="15.75" customHeight="1" x14ac:dyDescent="0.25">
      <c r="T659" s="6"/>
      <c r="U659" s="7"/>
      <c r="V659" s="1"/>
      <c r="W659" s="1"/>
    </row>
    <row r="660" spans="20:23" ht="15.75" customHeight="1" x14ac:dyDescent="0.25">
      <c r="T660" s="6"/>
      <c r="U660" s="7"/>
      <c r="V660" s="1"/>
      <c r="W660" s="1"/>
    </row>
    <row r="661" spans="20:23" ht="15.75" customHeight="1" x14ac:dyDescent="0.25">
      <c r="T661" s="6"/>
      <c r="U661" s="7"/>
      <c r="V661" s="1"/>
      <c r="W661" s="1"/>
    </row>
    <row r="662" spans="20:23" ht="15.75" customHeight="1" x14ac:dyDescent="0.25">
      <c r="T662" s="6"/>
      <c r="U662" s="7"/>
      <c r="V662" s="1"/>
      <c r="W662" s="1"/>
    </row>
    <row r="663" spans="20:23" ht="15.75" customHeight="1" x14ac:dyDescent="0.25">
      <c r="T663" s="6"/>
      <c r="U663" s="7"/>
      <c r="V663" s="1"/>
      <c r="W663" s="1"/>
    </row>
    <row r="664" spans="20:23" ht="15.75" customHeight="1" x14ac:dyDescent="0.25">
      <c r="T664" s="6"/>
      <c r="U664" s="7"/>
      <c r="V664" s="1"/>
      <c r="W664" s="1"/>
    </row>
    <row r="665" spans="20:23" ht="15.75" customHeight="1" x14ac:dyDescent="0.25">
      <c r="T665" s="6"/>
      <c r="U665" s="7"/>
      <c r="V665" s="1"/>
      <c r="W665" s="1"/>
    </row>
    <row r="666" spans="20:23" ht="15.75" customHeight="1" x14ac:dyDescent="0.25">
      <c r="T666" s="6"/>
      <c r="U666" s="7"/>
      <c r="V666" s="1"/>
      <c r="W666" s="1"/>
    </row>
    <row r="667" spans="20:23" ht="15.75" customHeight="1" x14ac:dyDescent="0.25">
      <c r="T667" s="6"/>
      <c r="U667" s="7"/>
      <c r="V667" s="1"/>
      <c r="W667" s="1"/>
    </row>
    <row r="668" spans="20:23" ht="15.75" customHeight="1" x14ac:dyDescent="0.25">
      <c r="T668" s="6"/>
      <c r="U668" s="7"/>
      <c r="V668" s="1"/>
      <c r="W668" s="1"/>
    </row>
    <row r="669" spans="20:23" ht="15.75" customHeight="1" x14ac:dyDescent="0.25">
      <c r="T669" s="6"/>
      <c r="U669" s="7"/>
      <c r="V669" s="1"/>
      <c r="W669" s="1"/>
    </row>
    <row r="670" spans="20:23" ht="15.75" customHeight="1" x14ac:dyDescent="0.25">
      <c r="T670" s="6"/>
      <c r="U670" s="7"/>
      <c r="V670" s="1"/>
      <c r="W670" s="1"/>
    </row>
    <row r="671" spans="20:23" ht="15.75" customHeight="1" x14ac:dyDescent="0.25">
      <c r="T671" s="6"/>
      <c r="U671" s="7"/>
      <c r="V671" s="1"/>
      <c r="W671" s="1"/>
    </row>
    <row r="672" spans="20:23" ht="15.75" customHeight="1" x14ac:dyDescent="0.25">
      <c r="T672" s="6"/>
      <c r="U672" s="7"/>
      <c r="V672" s="1"/>
      <c r="W672" s="1"/>
    </row>
    <row r="673" spans="20:23" ht="15.75" customHeight="1" x14ac:dyDescent="0.25">
      <c r="T673" s="6"/>
      <c r="U673" s="7"/>
      <c r="V673" s="1"/>
      <c r="W673" s="1"/>
    </row>
    <row r="674" spans="20:23" ht="15.75" customHeight="1" x14ac:dyDescent="0.25">
      <c r="T674" s="6"/>
      <c r="U674" s="7"/>
      <c r="V674" s="1"/>
      <c r="W674" s="1"/>
    </row>
    <row r="675" spans="20:23" ht="15.75" customHeight="1" x14ac:dyDescent="0.25">
      <c r="T675" s="6"/>
      <c r="U675" s="7"/>
      <c r="V675" s="1"/>
      <c r="W675" s="1"/>
    </row>
    <row r="676" spans="20:23" ht="15.75" customHeight="1" x14ac:dyDescent="0.25">
      <c r="T676" s="6"/>
      <c r="U676" s="7"/>
      <c r="V676" s="1"/>
      <c r="W676" s="1"/>
    </row>
    <row r="677" spans="20:23" ht="15.75" customHeight="1" x14ac:dyDescent="0.25">
      <c r="T677" s="6"/>
      <c r="U677" s="7"/>
      <c r="V677" s="1"/>
      <c r="W677" s="1"/>
    </row>
    <row r="678" spans="20:23" ht="15.75" customHeight="1" x14ac:dyDescent="0.25">
      <c r="T678" s="6"/>
      <c r="U678" s="7"/>
      <c r="V678" s="1"/>
      <c r="W678" s="1"/>
    </row>
    <row r="679" spans="20:23" ht="15.75" customHeight="1" x14ac:dyDescent="0.25">
      <c r="T679" s="6"/>
      <c r="U679" s="7"/>
      <c r="V679" s="1"/>
      <c r="W679" s="1"/>
    </row>
    <row r="680" spans="20:23" ht="15.75" customHeight="1" x14ac:dyDescent="0.25">
      <c r="T680" s="6"/>
      <c r="U680" s="7"/>
      <c r="V680" s="1"/>
      <c r="W680" s="1"/>
    </row>
    <row r="681" spans="20:23" ht="15.75" customHeight="1" x14ac:dyDescent="0.25">
      <c r="T681" s="6"/>
      <c r="U681" s="7"/>
      <c r="V681" s="1"/>
      <c r="W681" s="1"/>
    </row>
    <row r="682" spans="20:23" ht="15.75" customHeight="1" x14ac:dyDescent="0.25">
      <c r="T682" s="6"/>
      <c r="U682" s="7"/>
      <c r="V682" s="1"/>
      <c r="W682" s="1"/>
    </row>
    <row r="683" spans="20:23" ht="15.75" customHeight="1" x14ac:dyDescent="0.25">
      <c r="T683" s="6"/>
      <c r="U683" s="7"/>
      <c r="V683" s="1"/>
      <c r="W683" s="1"/>
    </row>
    <row r="684" spans="20:23" ht="15.75" customHeight="1" x14ac:dyDescent="0.25">
      <c r="T684" s="6"/>
      <c r="U684" s="7"/>
      <c r="V684" s="1"/>
      <c r="W684" s="1"/>
    </row>
    <row r="685" spans="20:23" ht="15.75" customHeight="1" x14ac:dyDescent="0.25">
      <c r="T685" s="6"/>
      <c r="U685" s="7"/>
      <c r="V685" s="1"/>
      <c r="W685" s="1"/>
    </row>
    <row r="686" spans="20:23" ht="15.75" customHeight="1" x14ac:dyDescent="0.25">
      <c r="T686" s="6"/>
      <c r="U686" s="7"/>
      <c r="V686" s="1"/>
      <c r="W686" s="1"/>
    </row>
    <row r="687" spans="20:23" ht="15.75" customHeight="1" x14ac:dyDescent="0.25">
      <c r="T687" s="6"/>
      <c r="U687" s="7"/>
      <c r="V687" s="1"/>
      <c r="W687" s="1"/>
    </row>
    <row r="688" spans="20:23" ht="15.75" customHeight="1" x14ac:dyDescent="0.25">
      <c r="T688" s="6"/>
      <c r="U688" s="7"/>
      <c r="V688" s="1"/>
      <c r="W688" s="1"/>
    </row>
    <row r="689" spans="20:23" ht="15.75" customHeight="1" x14ac:dyDescent="0.25">
      <c r="T689" s="6"/>
      <c r="U689" s="7"/>
      <c r="V689" s="1"/>
      <c r="W689" s="1"/>
    </row>
    <row r="690" spans="20:23" ht="15.75" customHeight="1" x14ac:dyDescent="0.25">
      <c r="T690" s="6"/>
      <c r="U690" s="7"/>
      <c r="V690" s="1"/>
      <c r="W690" s="1"/>
    </row>
    <row r="691" spans="20:23" ht="15.75" customHeight="1" x14ac:dyDescent="0.25">
      <c r="T691" s="6"/>
      <c r="U691" s="7"/>
      <c r="V691" s="1"/>
      <c r="W691" s="1"/>
    </row>
    <row r="692" spans="20:23" ht="15.75" customHeight="1" x14ac:dyDescent="0.25">
      <c r="T692" s="6"/>
      <c r="U692" s="7"/>
      <c r="V692" s="1"/>
      <c r="W692" s="1"/>
    </row>
    <row r="693" spans="20:23" ht="15.75" customHeight="1" x14ac:dyDescent="0.25">
      <c r="T693" s="6"/>
      <c r="U693" s="7"/>
      <c r="V693" s="1"/>
      <c r="W693" s="1"/>
    </row>
    <row r="694" spans="20:23" ht="15.75" customHeight="1" x14ac:dyDescent="0.25">
      <c r="T694" s="6"/>
      <c r="U694" s="7"/>
      <c r="V694" s="1"/>
      <c r="W694" s="1"/>
    </row>
    <row r="695" spans="20:23" ht="15.75" customHeight="1" x14ac:dyDescent="0.25">
      <c r="T695" s="6"/>
      <c r="U695" s="7"/>
      <c r="V695" s="1"/>
      <c r="W695" s="1"/>
    </row>
    <row r="696" spans="20:23" ht="15.75" customHeight="1" x14ac:dyDescent="0.25">
      <c r="T696" s="6"/>
      <c r="U696" s="7"/>
      <c r="V696" s="1"/>
      <c r="W696" s="1"/>
    </row>
    <row r="697" spans="20:23" ht="15.75" customHeight="1" x14ac:dyDescent="0.25">
      <c r="T697" s="6"/>
      <c r="U697" s="7"/>
      <c r="V697" s="1"/>
      <c r="W697" s="1"/>
    </row>
    <row r="698" spans="20:23" ht="15.75" customHeight="1" x14ac:dyDescent="0.25">
      <c r="T698" s="6"/>
      <c r="U698" s="7"/>
      <c r="V698" s="1"/>
      <c r="W698" s="1"/>
    </row>
    <row r="699" spans="20:23" ht="15.75" customHeight="1" x14ac:dyDescent="0.25">
      <c r="T699" s="6"/>
      <c r="U699" s="7"/>
      <c r="V699" s="1"/>
      <c r="W699" s="1"/>
    </row>
    <row r="700" spans="20:23" ht="15.75" customHeight="1" x14ac:dyDescent="0.25">
      <c r="T700" s="6"/>
      <c r="U700" s="7"/>
      <c r="V700" s="1"/>
      <c r="W700" s="1"/>
    </row>
    <row r="701" spans="20:23" ht="15.75" customHeight="1" x14ac:dyDescent="0.25">
      <c r="T701" s="6"/>
      <c r="U701" s="7"/>
      <c r="V701" s="1"/>
      <c r="W701" s="1"/>
    </row>
    <row r="702" spans="20:23" ht="15.75" customHeight="1" x14ac:dyDescent="0.25">
      <c r="T702" s="6"/>
      <c r="U702" s="7"/>
      <c r="V702" s="1"/>
      <c r="W702" s="1"/>
    </row>
    <row r="703" spans="20:23" ht="15.75" customHeight="1" x14ac:dyDescent="0.25">
      <c r="T703" s="6"/>
      <c r="U703" s="7"/>
      <c r="V703" s="1"/>
      <c r="W703" s="1"/>
    </row>
    <row r="704" spans="20:23" ht="15.75" customHeight="1" x14ac:dyDescent="0.25">
      <c r="T704" s="6"/>
      <c r="U704" s="7"/>
      <c r="V704" s="1"/>
      <c r="W704" s="1"/>
    </row>
    <row r="705" spans="20:23" ht="15.75" customHeight="1" x14ac:dyDescent="0.25">
      <c r="T705" s="6"/>
      <c r="U705" s="7"/>
      <c r="V705" s="1"/>
      <c r="W705" s="1"/>
    </row>
    <row r="706" spans="20:23" ht="15.75" customHeight="1" x14ac:dyDescent="0.25">
      <c r="T706" s="6"/>
      <c r="U706" s="7"/>
      <c r="V706" s="1"/>
      <c r="W706" s="1"/>
    </row>
    <row r="707" spans="20:23" ht="15.75" customHeight="1" x14ac:dyDescent="0.25">
      <c r="T707" s="6"/>
      <c r="U707" s="7"/>
      <c r="V707" s="1"/>
      <c r="W707" s="1"/>
    </row>
    <row r="708" spans="20:23" ht="15.75" customHeight="1" x14ac:dyDescent="0.25">
      <c r="T708" s="6"/>
      <c r="U708" s="7"/>
      <c r="V708" s="1"/>
      <c r="W708" s="1"/>
    </row>
    <row r="709" spans="20:23" ht="15.75" customHeight="1" x14ac:dyDescent="0.25">
      <c r="T709" s="6"/>
      <c r="U709" s="7"/>
      <c r="V709" s="1"/>
      <c r="W709" s="1"/>
    </row>
    <row r="710" spans="20:23" ht="15.75" customHeight="1" x14ac:dyDescent="0.25">
      <c r="T710" s="6"/>
      <c r="U710" s="7"/>
      <c r="V710" s="1"/>
      <c r="W710" s="1"/>
    </row>
    <row r="711" spans="20:23" ht="15.75" customHeight="1" x14ac:dyDescent="0.25">
      <c r="T711" s="6"/>
      <c r="U711" s="7"/>
      <c r="V711" s="1"/>
      <c r="W711" s="1"/>
    </row>
    <row r="712" spans="20:23" ht="15.75" customHeight="1" x14ac:dyDescent="0.25">
      <c r="T712" s="6"/>
      <c r="U712" s="7"/>
      <c r="V712" s="1"/>
      <c r="W712" s="1"/>
    </row>
    <row r="713" spans="20:23" ht="15.75" customHeight="1" x14ac:dyDescent="0.25">
      <c r="T713" s="6"/>
      <c r="U713" s="7"/>
      <c r="V713" s="1"/>
      <c r="W713" s="1"/>
    </row>
    <row r="714" spans="20:23" ht="15.75" customHeight="1" x14ac:dyDescent="0.25">
      <c r="T714" s="6"/>
      <c r="U714" s="7"/>
      <c r="V714" s="1"/>
      <c r="W714" s="1"/>
    </row>
    <row r="715" spans="20:23" ht="15.75" customHeight="1" x14ac:dyDescent="0.25">
      <c r="T715" s="6"/>
      <c r="U715" s="7"/>
      <c r="V715" s="1"/>
      <c r="W715" s="1"/>
    </row>
    <row r="716" spans="20:23" ht="15.75" customHeight="1" x14ac:dyDescent="0.25">
      <c r="T716" s="6"/>
      <c r="U716" s="7"/>
      <c r="V716" s="1"/>
      <c r="W716" s="1"/>
    </row>
    <row r="717" spans="20:23" ht="15.75" customHeight="1" x14ac:dyDescent="0.25">
      <c r="T717" s="6"/>
      <c r="U717" s="7"/>
      <c r="V717" s="1"/>
      <c r="W717" s="1"/>
    </row>
    <row r="718" spans="20:23" ht="15.75" customHeight="1" x14ac:dyDescent="0.25">
      <c r="T718" s="6"/>
      <c r="U718" s="7"/>
      <c r="V718" s="1"/>
      <c r="W718" s="1"/>
    </row>
    <row r="719" spans="20:23" ht="15.75" customHeight="1" x14ac:dyDescent="0.25">
      <c r="T719" s="6"/>
      <c r="U719" s="7"/>
      <c r="V719" s="1"/>
      <c r="W719" s="1"/>
    </row>
    <row r="720" spans="20:23" ht="15.75" customHeight="1" x14ac:dyDescent="0.25">
      <c r="T720" s="6"/>
      <c r="U720" s="7"/>
      <c r="V720" s="1"/>
      <c r="W720" s="1"/>
    </row>
    <row r="721" spans="20:23" ht="15.75" customHeight="1" x14ac:dyDescent="0.25">
      <c r="T721" s="6"/>
      <c r="U721" s="7"/>
      <c r="V721" s="1"/>
      <c r="W721" s="1"/>
    </row>
    <row r="722" spans="20:23" ht="15.75" customHeight="1" x14ac:dyDescent="0.25">
      <c r="T722" s="6"/>
      <c r="U722" s="7"/>
      <c r="V722" s="1"/>
      <c r="W722" s="1"/>
    </row>
    <row r="723" spans="20:23" ht="15.75" customHeight="1" x14ac:dyDescent="0.25">
      <c r="T723" s="6"/>
      <c r="U723" s="7"/>
      <c r="V723" s="1"/>
      <c r="W723" s="1"/>
    </row>
    <row r="724" spans="20:23" ht="15.75" customHeight="1" x14ac:dyDescent="0.25">
      <c r="T724" s="6"/>
      <c r="U724" s="7"/>
      <c r="V724" s="1"/>
      <c r="W724" s="1"/>
    </row>
    <row r="725" spans="20:23" ht="15.75" customHeight="1" x14ac:dyDescent="0.25">
      <c r="T725" s="6"/>
      <c r="U725" s="7"/>
      <c r="V725" s="1"/>
      <c r="W725" s="1"/>
    </row>
    <row r="726" spans="20:23" ht="15.75" customHeight="1" x14ac:dyDescent="0.25">
      <c r="T726" s="6"/>
      <c r="U726" s="7"/>
      <c r="V726" s="1"/>
      <c r="W726" s="1"/>
    </row>
    <row r="727" spans="20:23" ht="15.75" customHeight="1" x14ac:dyDescent="0.25">
      <c r="T727" s="6"/>
      <c r="U727" s="7"/>
      <c r="V727" s="1"/>
      <c r="W727" s="1"/>
    </row>
    <row r="728" spans="20:23" ht="15.75" customHeight="1" x14ac:dyDescent="0.25">
      <c r="T728" s="6"/>
      <c r="U728" s="7"/>
      <c r="V728" s="1"/>
      <c r="W728" s="1"/>
    </row>
    <row r="729" spans="20:23" ht="15.75" customHeight="1" x14ac:dyDescent="0.25">
      <c r="T729" s="6"/>
      <c r="U729" s="7"/>
      <c r="V729" s="1"/>
      <c r="W729" s="1"/>
    </row>
    <row r="730" spans="20:23" ht="15.75" customHeight="1" x14ac:dyDescent="0.25">
      <c r="T730" s="6"/>
      <c r="U730" s="7"/>
      <c r="V730" s="1"/>
      <c r="W730" s="1"/>
    </row>
    <row r="731" spans="20:23" ht="15.75" customHeight="1" x14ac:dyDescent="0.25">
      <c r="T731" s="6"/>
      <c r="U731" s="7"/>
      <c r="V731" s="1"/>
      <c r="W731" s="1"/>
    </row>
    <row r="732" spans="20:23" ht="15.75" customHeight="1" x14ac:dyDescent="0.25">
      <c r="T732" s="6"/>
      <c r="U732" s="7"/>
      <c r="V732" s="1"/>
      <c r="W732" s="1"/>
    </row>
    <row r="733" spans="20:23" ht="15.75" customHeight="1" x14ac:dyDescent="0.25">
      <c r="T733" s="6"/>
      <c r="U733" s="7"/>
      <c r="V733" s="1"/>
      <c r="W733" s="1"/>
    </row>
    <row r="734" spans="20:23" ht="15.75" customHeight="1" x14ac:dyDescent="0.25">
      <c r="T734" s="6"/>
      <c r="U734" s="7"/>
      <c r="V734" s="1"/>
      <c r="W734" s="1"/>
    </row>
    <row r="735" spans="20:23" ht="15.75" customHeight="1" x14ac:dyDescent="0.25">
      <c r="T735" s="6"/>
      <c r="U735" s="7"/>
      <c r="V735" s="1"/>
      <c r="W735" s="1"/>
    </row>
    <row r="736" spans="20:23" ht="15.75" customHeight="1" x14ac:dyDescent="0.25">
      <c r="T736" s="6"/>
      <c r="U736" s="7"/>
      <c r="V736" s="1"/>
      <c r="W736" s="1"/>
    </row>
    <row r="737" spans="20:23" ht="15.75" customHeight="1" x14ac:dyDescent="0.25">
      <c r="T737" s="6"/>
      <c r="U737" s="7"/>
      <c r="V737" s="1"/>
      <c r="W737" s="1"/>
    </row>
    <row r="738" spans="20:23" ht="15.75" customHeight="1" x14ac:dyDescent="0.25">
      <c r="T738" s="6"/>
      <c r="U738" s="7"/>
      <c r="V738" s="1"/>
      <c r="W738" s="1"/>
    </row>
    <row r="739" spans="20:23" ht="15.75" customHeight="1" x14ac:dyDescent="0.25">
      <c r="T739" s="6"/>
      <c r="U739" s="7"/>
      <c r="V739" s="1"/>
      <c r="W739" s="1"/>
    </row>
    <row r="740" spans="20:23" ht="15.75" customHeight="1" x14ac:dyDescent="0.25">
      <c r="T740" s="6"/>
      <c r="U740" s="7"/>
      <c r="V740" s="1"/>
      <c r="W740" s="1"/>
    </row>
    <row r="741" spans="20:23" ht="15.75" customHeight="1" x14ac:dyDescent="0.25">
      <c r="T741" s="6"/>
      <c r="U741" s="7"/>
      <c r="V741" s="1"/>
      <c r="W741" s="1"/>
    </row>
    <row r="742" spans="20:23" ht="15.75" customHeight="1" x14ac:dyDescent="0.25">
      <c r="T742" s="6"/>
      <c r="U742" s="7"/>
      <c r="V742" s="1"/>
      <c r="W742" s="1"/>
    </row>
    <row r="743" spans="20:23" ht="15.75" customHeight="1" x14ac:dyDescent="0.25">
      <c r="T743" s="6"/>
      <c r="U743" s="7"/>
      <c r="V743" s="1"/>
      <c r="W743" s="1"/>
    </row>
    <row r="744" spans="20:23" ht="15.75" customHeight="1" x14ac:dyDescent="0.25">
      <c r="T744" s="6"/>
      <c r="U744" s="7"/>
      <c r="V744" s="1"/>
      <c r="W744" s="1"/>
    </row>
    <row r="745" spans="20:23" ht="15.75" customHeight="1" x14ac:dyDescent="0.25">
      <c r="T745" s="6"/>
      <c r="U745" s="7"/>
      <c r="V745" s="1"/>
      <c r="W745" s="1"/>
    </row>
    <row r="746" spans="20:23" ht="15.75" customHeight="1" x14ac:dyDescent="0.25">
      <c r="T746" s="6"/>
      <c r="U746" s="7"/>
      <c r="V746" s="1"/>
      <c r="W746" s="1"/>
    </row>
    <row r="747" spans="20:23" ht="15.75" customHeight="1" x14ac:dyDescent="0.25">
      <c r="T747" s="6"/>
      <c r="U747" s="7"/>
      <c r="V747" s="1"/>
      <c r="W747" s="1"/>
    </row>
    <row r="748" spans="20:23" ht="15.75" customHeight="1" x14ac:dyDescent="0.25">
      <c r="T748" s="6"/>
      <c r="U748" s="7"/>
      <c r="V748" s="1"/>
      <c r="W748" s="1"/>
    </row>
    <row r="749" spans="20:23" ht="15.75" customHeight="1" x14ac:dyDescent="0.25">
      <c r="T749" s="6"/>
      <c r="U749" s="7"/>
      <c r="V749" s="1"/>
      <c r="W749" s="1"/>
    </row>
    <row r="750" spans="20:23" ht="15.75" customHeight="1" x14ac:dyDescent="0.25">
      <c r="T750" s="6"/>
      <c r="U750" s="7"/>
      <c r="V750" s="1"/>
      <c r="W750" s="1"/>
    </row>
    <row r="751" spans="20:23" ht="15.75" customHeight="1" x14ac:dyDescent="0.25">
      <c r="T751" s="6"/>
      <c r="U751" s="7"/>
      <c r="V751" s="1"/>
      <c r="W751" s="1"/>
    </row>
    <row r="752" spans="20:23" ht="15.75" customHeight="1" x14ac:dyDescent="0.25">
      <c r="T752" s="6"/>
      <c r="U752" s="7"/>
      <c r="V752" s="1"/>
      <c r="W752" s="1"/>
    </row>
    <row r="753" spans="20:23" ht="15.75" customHeight="1" x14ac:dyDescent="0.25">
      <c r="T753" s="6"/>
      <c r="U753" s="7"/>
      <c r="V753" s="1"/>
      <c r="W753" s="1"/>
    </row>
    <row r="754" spans="20:23" ht="15.75" customHeight="1" x14ac:dyDescent="0.25">
      <c r="T754" s="6"/>
      <c r="U754" s="7"/>
      <c r="V754" s="1"/>
      <c r="W754" s="1"/>
    </row>
    <row r="755" spans="20:23" ht="15.75" customHeight="1" x14ac:dyDescent="0.25">
      <c r="T755" s="6"/>
      <c r="U755" s="7"/>
      <c r="V755" s="1"/>
      <c r="W755" s="1"/>
    </row>
    <row r="756" spans="20:23" ht="15.75" customHeight="1" x14ac:dyDescent="0.25">
      <c r="T756" s="6"/>
      <c r="U756" s="7"/>
      <c r="V756" s="1"/>
      <c r="W756" s="1"/>
    </row>
    <row r="757" spans="20:23" ht="15.75" customHeight="1" x14ac:dyDescent="0.25">
      <c r="T757" s="6"/>
      <c r="U757" s="7"/>
      <c r="V757" s="1"/>
      <c r="W757" s="1"/>
    </row>
    <row r="758" spans="20:23" ht="15.75" customHeight="1" x14ac:dyDescent="0.25">
      <c r="T758" s="6"/>
      <c r="U758" s="7"/>
      <c r="V758" s="1"/>
      <c r="W758" s="1"/>
    </row>
    <row r="759" spans="20:23" ht="15.75" customHeight="1" x14ac:dyDescent="0.25">
      <c r="T759" s="6"/>
      <c r="U759" s="7"/>
      <c r="V759" s="1"/>
      <c r="W759" s="1"/>
    </row>
    <row r="760" spans="20:23" ht="15.75" customHeight="1" x14ac:dyDescent="0.25">
      <c r="T760" s="6"/>
      <c r="U760" s="7"/>
      <c r="V760" s="1"/>
      <c r="W760" s="1"/>
    </row>
    <row r="761" spans="20:23" ht="15.75" customHeight="1" x14ac:dyDescent="0.25">
      <c r="T761" s="6"/>
      <c r="U761" s="7"/>
      <c r="V761" s="1"/>
      <c r="W761" s="1"/>
    </row>
    <row r="762" spans="20:23" ht="15.75" customHeight="1" x14ac:dyDescent="0.25">
      <c r="T762" s="6"/>
      <c r="U762" s="7"/>
      <c r="V762" s="1"/>
      <c r="W762" s="1"/>
    </row>
    <row r="763" spans="20:23" ht="15.75" customHeight="1" x14ac:dyDescent="0.25">
      <c r="T763" s="6"/>
      <c r="U763" s="7"/>
      <c r="V763" s="1"/>
      <c r="W763" s="1"/>
    </row>
    <row r="764" spans="20:23" ht="15.75" customHeight="1" x14ac:dyDescent="0.25">
      <c r="T764" s="6"/>
      <c r="U764" s="7"/>
      <c r="V764" s="1"/>
      <c r="W764" s="1"/>
    </row>
    <row r="765" spans="20:23" ht="15.75" customHeight="1" x14ac:dyDescent="0.25">
      <c r="T765" s="6"/>
      <c r="U765" s="7"/>
      <c r="V765" s="1"/>
      <c r="W765" s="1"/>
    </row>
    <row r="766" spans="20:23" ht="15.75" customHeight="1" x14ac:dyDescent="0.25">
      <c r="T766" s="6"/>
      <c r="U766" s="7"/>
      <c r="V766" s="1"/>
      <c r="W766" s="1"/>
    </row>
    <row r="767" spans="20:23" ht="15.75" customHeight="1" x14ac:dyDescent="0.25">
      <c r="T767" s="6"/>
      <c r="U767" s="7"/>
      <c r="V767" s="1"/>
      <c r="W767" s="1"/>
    </row>
    <row r="768" spans="20:23" ht="15.75" customHeight="1" x14ac:dyDescent="0.25">
      <c r="T768" s="6"/>
      <c r="U768" s="7"/>
      <c r="V768" s="1"/>
      <c r="W768" s="1"/>
    </row>
    <row r="769" spans="20:23" ht="15.75" customHeight="1" x14ac:dyDescent="0.25">
      <c r="T769" s="6"/>
      <c r="U769" s="7"/>
      <c r="V769" s="1"/>
      <c r="W769" s="1"/>
    </row>
    <row r="770" spans="20:23" ht="15.75" customHeight="1" x14ac:dyDescent="0.25">
      <c r="T770" s="6"/>
      <c r="U770" s="7"/>
      <c r="V770" s="1"/>
      <c r="W770" s="1"/>
    </row>
    <row r="771" spans="20:23" ht="15.75" customHeight="1" x14ac:dyDescent="0.25">
      <c r="T771" s="6"/>
      <c r="U771" s="7"/>
      <c r="V771" s="1"/>
      <c r="W771" s="1"/>
    </row>
    <row r="772" spans="20:23" ht="15.75" customHeight="1" x14ac:dyDescent="0.25">
      <c r="T772" s="6"/>
      <c r="U772" s="7"/>
      <c r="V772" s="1"/>
      <c r="W772" s="1"/>
    </row>
    <row r="773" spans="20:23" ht="15.75" customHeight="1" x14ac:dyDescent="0.25">
      <c r="T773" s="6"/>
      <c r="U773" s="7"/>
      <c r="V773" s="1"/>
      <c r="W773" s="1"/>
    </row>
    <row r="774" spans="20:23" ht="15.75" customHeight="1" x14ac:dyDescent="0.25">
      <c r="T774" s="6"/>
      <c r="U774" s="7"/>
      <c r="V774" s="1"/>
      <c r="W774" s="1"/>
    </row>
    <row r="775" spans="20:23" ht="15.75" customHeight="1" x14ac:dyDescent="0.25">
      <c r="T775" s="6"/>
      <c r="U775" s="7"/>
      <c r="V775" s="1"/>
      <c r="W775" s="1"/>
    </row>
    <row r="776" spans="20:23" ht="15.75" customHeight="1" x14ac:dyDescent="0.25">
      <c r="T776" s="6"/>
      <c r="U776" s="7"/>
      <c r="V776" s="1"/>
      <c r="W776" s="1"/>
    </row>
    <row r="777" spans="20:23" ht="15.75" customHeight="1" x14ac:dyDescent="0.25">
      <c r="T777" s="6"/>
      <c r="U777" s="7"/>
      <c r="V777" s="1"/>
      <c r="W777" s="1"/>
    </row>
    <row r="778" spans="20:23" ht="15.75" customHeight="1" x14ac:dyDescent="0.25">
      <c r="T778" s="6"/>
      <c r="U778" s="7"/>
      <c r="V778" s="1"/>
      <c r="W778" s="1"/>
    </row>
    <row r="779" spans="20:23" ht="15.75" customHeight="1" x14ac:dyDescent="0.25">
      <c r="T779" s="6"/>
      <c r="U779" s="7"/>
      <c r="V779" s="1"/>
      <c r="W779" s="1"/>
    </row>
    <row r="780" spans="20:23" ht="15.75" customHeight="1" x14ac:dyDescent="0.25">
      <c r="T780" s="6"/>
      <c r="U780" s="7"/>
      <c r="V780" s="1"/>
      <c r="W780" s="1"/>
    </row>
    <row r="781" spans="20:23" ht="15.75" customHeight="1" x14ac:dyDescent="0.25">
      <c r="T781" s="6"/>
      <c r="U781" s="7"/>
      <c r="V781" s="1"/>
      <c r="W781" s="1"/>
    </row>
    <row r="782" spans="20:23" ht="15.75" customHeight="1" x14ac:dyDescent="0.25">
      <c r="T782" s="6"/>
      <c r="U782" s="7"/>
      <c r="V782" s="1"/>
      <c r="W782" s="1"/>
    </row>
    <row r="783" spans="20:23" ht="15.75" customHeight="1" x14ac:dyDescent="0.25">
      <c r="T783" s="6"/>
      <c r="U783" s="7"/>
      <c r="V783" s="1"/>
      <c r="W783" s="1"/>
    </row>
    <row r="784" spans="20:23" ht="15.75" customHeight="1" x14ac:dyDescent="0.25">
      <c r="T784" s="6"/>
      <c r="U784" s="7"/>
      <c r="V784" s="1"/>
      <c r="W784" s="1"/>
    </row>
    <row r="785" spans="20:23" ht="15.75" customHeight="1" x14ac:dyDescent="0.25">
      <c r="T785" s="6"/>
      <c r="U785" s="7"/>
      <c r="V785" s="1"/>
      <c r="W785" s="1"/>
    </row>
    <row r="786" spans="20:23" ht="15.75" customHeight="1" x14ac:dyDescent="0.25">
      <c r="T786" s="6"/>
      <c r="U786" s="7"/>
      <c r="V786" s="1"/>
      <c r="W786" s="1"/>
    </row>
    <row r="787" spans="20:23" ht="15.75" customHeight="1" x14ac:dyDescent="0.25">
      <c r="T787" s="6"/>
      <c r="U787" s="7"/>
      <c r="V787" s="1"/>
      <c r="W787" s="1"/>
    </row>
    <row r="788" spans="20:23" ht="15.75" customHeight="1" x14ac:dyDescent="0.25">
      <c r="T788" s="6"/>
      <c r="U788" s="7"/>
      <c r="V788" s="1"/>
      <c r="W788" s="1"/>
    </row>
    <row r="789" spans="20:23" ht="15.75" customHeight="1" x14ac:dyDescent="0.25">
      <c r="T789" s="6"/>
      <c r="U789" s="7"/>
      <c r="V789" s="1"/>
      <c r="W789" s="1"/>
    </row>
    <row r="790" spans="20:23" ht="15.75" customHeight="1" x14ac:dyDescent="0.25">
      <c r="T790" s="6"/>
      <c r="U790" s="7"/>
      <c r="V790" s="1"/>
      <c r="W790" s="1"/>
    </row>
    <row r="791" spans="20:23" ht="15.75" customHeight="1" x14ac:dyDescent="0.25">
      <c r="T791" s="6"/>
      <c r="U791" s="7"/>
      <c r="V791" s="1"/>
      <c r="W791" s="1"/>
    </row>
    <row r="792" spans="20:23" ht="15.75" customHeight="1" x14ac:dyDescent="0.25">
      <c r="T792" s="6"/>
      <c r="U792" s="7"/>
      <c r="V792" s="1"/>
      <c r="W792" s="1"/>
    </row>
    <row r="793" spans="20:23" ht="15.75" customHeight="1" x14ac:dyDescent="0.25">
      <c r="T793" s="6"/>
      <c r="U793" s="7"/>
      <c r="V793" s="1"/>
      <c r="W793" s="1"/>
    </row>
    <row r="794" spans="20:23" ht="15.75" customHeight="1" x14ac:dyDescent="0.25">
      <c r="T794" s="6"/>
      <c r="U794" s="7"/>
      <c r="V794" s="1"/>
      <c r="W794" s="1"/>
    </row>
    <row r="795" spans="20:23" ht="15.75" customHeight="1" x14ac:dyDescent="0.25">
      <c r="T795" s="6"/>
      <c r="U795" s="7"/>
      <c r="V795" s="1"/>
      <c r="W795" s="1"/>
    </row>
    <row r="796" spans="20:23" ht="15.75" customHeight="1" x14ac:dyDescent="0.25">
      <c r="T796" s="6"/>
      <c r="U796" s="7"/>
      <c r="V796" s="1"/>
      <c r="W796" s="1"/>
    </row>
    <row r="797" spans="20:23" ht="15.75" customHeight="1" x14ac:dyDescent="0.25">
      <c r="T797" s="6"/>
      <c r="U797" s="7"/>
      <c r="V797" s="1"/>
      <c r="W797" s="1"/>
    </row>
    <row r="798" spans="20:23" ht="15.75" customHeight="1" x14ac:dyDescent="0.25">
      <c r="T798" s="6"/>
      <c r="U798" s="7"/>
      <c r="V798" s="1"/>
      <c r="W798" s="1"/>
    </row>
    <row r="799" spans="20:23" ht="15.75" customHeight="1" x14ac:dyDescent="0.25">
      <c r="T799" s="6"/>
      <c r="U799" s="7"/>
      <c r="V799" s="1"/>
      <c r="W799" s="1"/>
    </row>
    <row r="800" spans="20:23" ht="15.75" customHeight="1" x14ac:dyDescent="0.25">
      <c r="T800" s="6"/>
      <c r="U800" s="7"/>
      <c r="V800" s="1"/>
      <c r="W800" s="1"/>
    </row>
    <row r="801" spans="20:23" ht="15.75" customHeight="1" x14ac:dyDescent="0.25">
      <c r="T801" s="6"/>
      <c r="U801" s="7"/>
      <c r="V801" s="1"/>
      <c r="W801" s="1"/>
    </row>
    <row r="802" spans="20:23" ht="15.75" customHeight="1" x14ac:dyDescent="0.25">
      <c r="T802" s="6"/>
      <c r="U802" s="7"/>
      <c r="V802" s="1"/>
      <c r="W802" s="1"/>
    </row>
    <row r="803" spans="20:23" ht="15.75" customHeight="1" x14ac:dyDescent="0.25">
      <c r="T803" s="6"/>
      <c r="U803" s="7"/>
      <c r="V803" s="1"/>
      <c r="W803" s="1"/>
    </row>
    <row r="804" spans="20:23" ht="15.75" customHeight="1" x14ac:dyDescent="0.25">
      <c r="T804" s="6"/>
      <c r="U804" s="7"/>
      <c r="V804" s="1"/>
      <c r="W804" s="1"/>
    </row>
    <row r="805" spans="20:23" ht="15.75" customHeight="1" x14ac:dyDescent="0.25">
      <c r="T805" s="6"/>
      <c r="U805" s="7"/>
      <c r="V805" s="1"/>
      <c r="W805" s="1"/>
    </row>
    <row r="806" spans="20:23" ht="15.75" customHeight="1" x14ac:dyDescent="0.25">
      <c r="T806" s="6"/>
      <c r="U806" s="7"/>
      <c r="V806" s="1"/>
      <c r="W806" s="1"/>
    </row>
    <row r="807" spans="20:23" ht="15.75" customHeight="1" x14ac:dyDescent="0.25">
      <c r="T807" s="6"/>
      <c r="U807" s="7"/>
      <c r="V807" s="1"/>
      <c r="W807" s="1"/>
    </row>
    <row r="808" spans="20:23" ht="15.75" customHeight="1" x14ac:dyDescent="0.25">
      <c r="T808" s="6"/>
      <c r="U808" s="7"/>
      <c r="V808" s="1"/>
      <c r="W808" s="1"/>
    </row>
    <row r="809" spans="20:23" ht="15.75" customHeight="1" x14ac:dyDescent="0.25">
      <c r="T809" s="6"/>
      <c r="U809" s="7"/>
      <c r="V809" s="1"/>
      <c r="W809" s="1"/>
    </row>
    <row r="810" spans="20:23" ht="15.75" customHeight="1" x14ac:dyDescent="0.25">
      <c r="T810" s="6"/>
      <c r="U810" s="7"/>
      <c r="V810" s="1"/>
      <c r="W810" s="1"/>
    </row>
    <row r="811" spans="20:23" ht="15.75" customHeight="1" x14ac:dyDescent="0.25">
      <c r="T811" s="6"/>
      <c r="U811" s="7"/>
      <c r="V811" s="1"/>
      <c r="W811" s="1"/>
    </row>
    <row r="812" spans="20:23" ht="15.75" customHeight="1" x14ac:dyDescent="0.25">
      <c r="T812" s="6"/>
      <c r="U812" s="7"/>
      <c r="V812" s="1"/>
      <c r="W812" s="1"/>
    </row>
    <row r="813" spans="20:23" ht="15.75" customHeight="1" x14ac:dyDescent="0.25">
      <c r="T813" s="6"/>
      <c r="U813" s="7"/>
      <c r="V813" s="1"/>
      <c r="W813" s="1"/>
    </row>
    <row r="814" spans="20:23" ht="15.75" customHeight="1" x14ac:dyDescent="0.25">
      <c r="T814" s="6"/>
      <c r="U814" s="7"/>
      <c r="V814" s="1"/>
      <c r="W814" s="1"/>
    </row>
    <row r="815" spans="20:23" ht="15.75" customHeight="1" x14ac:dyDescent="0.25">
      <c r="T815" s="6"/>
      <c r="U815" s="7"/>
      <c r="V815" s="1"/>
      <c r="W815" s="1"/>
    </row>
    <row r="816" spans="20:23" ht="15.75" customHeight="1" x14ac:dyDescent="0.25">
      <c r="T816" s="6"/>
      <c r="U816" s="7"/>
      <c r="V816" s="1"/>
      <c r="W816" s="1"/>
    </row>
    <row r="817" spans="20:23" ht="15.75" customHeight="1" x14ac:dyDescent="0.25">
      <c r="T817" s="6"/>
      <c r="U817" s="7"/>
      <c r="V817" s="1"/>
      <c r="W817" s="1"/>
    </row>
    <row r="818" spans="20:23" ht="15.75" customHeight="1" x14ac:dyDescent="0.25">
      <c r="T818" s="6"/>
      <c r="U818" s="7"/>
      <c r="V818" s="1"/>
      <c r="W818" s="1"/>
    </row>
    <row r="819" spans="20:23" ht="15.75" customHeight="1" x14ac:dyDescent="0.25">
      <c r="T819" s="6"/>
      <c r="U819" s="7"/>
      <c r="V819" s="1"/>
      <c r="W819" s="1"/>
    </row>
    <row r="820" spans="20:23" ht="15.75" customHeight="1" x14ac:dyDescent="0.25">
      <c r="T820" s="6"/>
      <c r="U820" s="7"/>
      <c r="V820" s="1"/>
      <c r="W820" s="1"/>
    </row>
    <row r="821" spans="20:23" ht="15.75" customHeight="1" x14ac:dyDescent="0.25">
      <c r="T821" s="6"/>
      <c r="U821" s="7"/>
      <c r="V821" s="1"/>
      <c r="W821" s="1"/>
    </row>
    <row r="822" spans="20:23" ht="15.75" customHeight="1" x14ac:dyDescent="0.25">
      <c r="T822" s="6"/>
      <c r="U822" s="7"/>
      <c r="V822" s="1"/>
      <c r="W822" s="1"/>
    </row>
    <row r="823" spans="20:23" ht="15.75" customHeight="1" x14ac:dyDescent="0.25">
      <c r="T823" s="6"/>
      <c r="U823" s="7"/>
      <c r="V823" s="1"/>
      <c r="W823" s="1"/>
    </row>
    <row r="824" spans="20:23" ht="15.75" customHeight="1" x14ac:dyDescent="0.25">
      <c r="T824" s="6"/>
      <c r="U824" s="7"/>
      <c r="V824" s="1"/>
      <c r="W824" s="1"/>
    </row>
    <row r="825" spans="20:23" ht="15.75" customHeight="1" x14ac:dyDescent="0.25">
      <c r="T825" s="6"/>
      <c r="U825" s="7"/>
      <c r="V825" s="1"/>
      <c r="W825" s="1"/>
    </row>
    <row r="826" spans="20:23" ht="15.75" customHeight="1" x14ac:dyDescent="0.25">
      <c r="T826" s="6"/>
      <c r="U826" s="7"/>
      <c r="V826" s="1"/>
      <c r="W826" s="1"/>
    </row>
    <row r="827" spans="20:23" ht="15.75" customHeight="1" x14ac:dyDescent="0.25">
      <c r="T827" s="6"/>
      <c r="U827" s="7"/>
      <c r="V827" s="1"/>
      <c r="W827" s="1"/>
    </row>
    <row r="828" spans="20:23" ht="15.75" customHeight="1" x14ac:dyDescent="0.25">
      <c r="T828" s="6"/>
      <c r="U828" s="7"/>
      <c r="V828" s="1"/>
      <c r="W828" s="1"/>
    </row>
    <row r="829" spans="20:23" ht="15.75" customHeight="1" x14ac:dyDescent="0.25">
      <c r="T829" s="6"/>
      <c r="U829" s="7"/>
      <c r="V829" s="1"/>
      <c r="W829" s="1"/>
    </row>
    <row r="830" spans="20:23" ht="15.75" customHeight="1" x14ac:dyDescent="0.25">
      <c r="T830" s="6"/>
      <c r="U830" s="7"/>
      <c r="V830" s="1"/>
      <c r="W830" s="1"/>
    </row>
    <row r="831" spans="20:23" ht="15.75" customHeight="1" x14ac:dyDescent="0.25">
      <c r="T831" s="6"/>
      <c r="U831" s="7"/>
      <c r="V831" s="1"/>
      <c r="W831" s="1"/>
    </row>
    <row r="832" spans="20:23" ht="15.75" customHeight="1" x14ac:dyDescent="0.25">
      <c r="T832" s="6"/>
      <c r="U832" s="7"/>
      <c r="V832" s="1"/>
      <c r="W832" s="1"/>
    </row>
    <row r="833" spans="20:23" ht="15.75" customHeight="1" x14ac:dyDescent="0.25">
      <c r="T833" s="6"/>
      <c r="U833" s="7"/>
      <c r="V833" s="1"/>
      <c r="W833" s="1"/>
    </row>
    <row r="834" spans="20:23" ht="15.75" customHeight="1" x14ac:dyDescent="0.25">
      <c r="T834" s="6"/>
      <c r="U834" s="7"/>
      <c r="V834" s="1"/>
      <c r="W834" s="1"/>
    </row>
    <row r="835" spans="20:23" ht="15.75" customHeight="1" x14ac:dyDescent="0.25">
      <c r="T835" s="6"/>
      <c r="U835" s="7"/>
      <c r="V835" s="1"/>
      <c r="W835" s="1"/>
    </row>
    <row r="836" spans="20:23" ht="15.75" customHeight="1" x14ac:dyDescent="0.25">
      <c r="T836" s="6"/>
      <c r="U836" s="7"/>
      <c r="V836" s="1"/>
      <c r="W836" s="1"/>
    </row>
    <row r="837" spans="20:23" ht="15.75" customHeight="1" x14ac:dyDescent="0.25">
      <c r="T837" s="6"/>
      <c r="U837" s="7"/>
      <c r="V837" s="1"/>
      <c r="W837" s="1"/>
    </row>
    <row r="838" spans="20:23" ht="15.75" customHeight="1" x14ac:dyDescent="0.25">
      <c r="T838" s="6"/>
      <c r="U838" s="7"/>
      <c r="V838" s="1"/>
      <c r="W838" s="1"/>
    </row>
    <row r="839" spans="20:23" ht="15.75" customHeight="1" x14ac:dyDescent="0.25">
      <c r="T839" s="6"/>
      <c r="U839" s="7"/>
      <c r="V839" s="1"/>
      <c r="W839" s="1"/>
    </row>
    <row r="840" spans="20:23" ht="15.75" customHeight="1" x14ac:dyDescent="0.25">
      <c r="T840" s="6"/>
      <c r="U840" s="7"/>
      <c r="V840" s="1"/>
      <c r="W840" s="1"/>
    </row>
    <row r="841" spans="20:23" ht="15.75" customHeight="1" x14ac:dyDescent="0.25">
      <c r="T841" s="6"/>
      <c r="U841" s="7"/>
      <c r="V841" s="1"/>
      <c r="W841" s="1"/>
    </row>
    <row r="842" spans="20:23" ht="15.75" customHeight="1" x14ac:dyDescent="0.25">
      <c r="T842" s="6"/>
      <c r="U842" s="7"/>
      <c r="V842" s="1"/>
      <c r="W842" s="1"/>
    </row>
    <row r="843" spans="20:23" ht="15.75" customHeight="1" x14ac:dyDescent="0.25">
      <c r="T843" s="6"/>
      <c r="U843" s="7"/>
      <c r="V843" s="1"/>
      <c r="W843" s="1"/>
    </row>
    <row r="844" spans="20:23" ht="15.75" customHeight="1" x14ac:dyDescent="0.25">
      <c r="T844" s="6"/>
      <c r="U844" s="7"/>
      <c r="V844" s="1"/>
      <c r="W844" s="1"/>
    </row>
    <row r="845" spans="20:23" ht="15.75" customHeight="1" x14ac:dyDescent="0.25">
      <c r="T845" s="6"/>
      <c r="U845" s="7"/>
      <c r="V845" s="1"/>
      <c r="W845" s="1"/>
    </row>
    <row r="846" spans="20:23" ht="15.75" customHeight="1" x14ac:dyDescent="0.25">
      <c r="T846" s="6"/>
      <c r="U846" s="7"/>
      <c r="V846" s="1"/>
      <c r="W846" s="1"/>
    </row>
    <row r="847" spans="20:23" ht="15.75" customHeight="1" x14ac:dyDescent="0.25">
      <c r="T847" s="6"/>
      <c r="U847" s="7"/>
      <c r="V847" s="1"/>
      <c r="W847" s="1"/>
    </row>
    <row r="848" spans="20:23" ht="15.75" customHeight="1" x14ac:dyDescent="0.25">
      <c r="T848" s="6"/>
      <c r="U848" s="7"/>
      <c r="V848" s="1"/>
      <c r="W848" s="1"/>
    </row>
    <row r="849" spans="20:23" ht="15.75" customHeight="1" x14ac:dyDescent="0.25">
      <c r="T849" s="6"/>
      <c r="U849" s="7"/>
      <c r="V849" s="1"/>
      <c r="W849" s="1"/>
    </row>
    <row r="850" spans="20:23" ht="15.75" customHeight="1" x14ac:dyDescent="0.25">
      <c r="T850" s="6"/>
      <c r="U850" s="7"/>
      <c r="V850" s="1"/>
      <c r="W850" s="1"/>
    </row>
    <row r="851" spans="20:23" ht="15.75" customHeight="1" x14ac:dyDescent="0.25">
      <c r="T851" s="6"/>
      <c r="U851" s="7"/>
      <c r="V851" s="1"/>
      <c r="W851" s="1"/>
    </row>
    <row r="852" spans="20:23" ht="15.75" customHeight="1" x14ac:dyDescent="0.25">
      <c r="T852" s="6"/>
      <c r="U852" s="7"/>
      <c r="V852" s="1"/>
      <c r="W852" s="1"/>
    </row>
    <row r="853" spans="20:23" ht="15.75" customHeight="1" x14ac:dyDescent="0.25">
      <c r="T853" s="6"/>
      <c r="U853" s="7"/>
      <c r="V853" s="1"/>
      <c r="W853" s="1"/>
    </row>
    <row r="854" spans="20:23" ht="15.75" customHeight="1" x14ac:dyDescent="0.25">
      <c r="T854" s="6"/>
      <c r="U854" s="7"/>
      <c r="V854" s="1"/>
      <c r="W854" s="1"/>
    </row>
    <row r="855" spans="20:23" ht="15.75" customHeight="1" x14ac:dyDescent="0.25">
      <c r="T855" s="6"/>
      <c r="U855" s="7"/>
      <c r="V855" s="1"/>
      <c r="W855" s="1"/>
    </row>
    <row r="856" spans="20:23" ht="15.75" customHeight="1" x14ac:dyDescent="0.25">
      <c r="T856" s="6"/>
      <c r="U856" s="7"/>
      <c r="V856" s="1"/>
      <c r="W856" s="1"/>
    </row>
    <row r="857" spans="20:23" ht="15.75" customHeight="1" x14ac:dyDescent="0.25">
      <c r="T857" s="6"/>
      <c r="U857" s="7"/>
      <c r="V857" s="1"/>
      <c r="W857" s="1"/>
    </row>
    <row r="858" spans="20:23" ht="15.75" customHeight="1" x14ac:dyDescent="0.25">
      <c r="T858" s="6"/>
      <c r="U858" s="7"/>
      <c r="V858" s="1"/>
      <c r="W858" s="1"/>
    </row>
    <row r="859" spans="20:23" ht="15.75" customHeight="1" x14ac:dyDescent="0.25">
      <c r="T859" s="6"/>
      <c r="U859" s="7"/>
      <c r="V859" s="1"/>
      <c r="W859" s="1"/>
    </row>
    <row r="860" spans="20:23" ht="15.75" customHeight="1" x14ac:dyDescent="0.25">
      <c r="T860" s="6"/>
      <c r="U860" s="7"/>
      <c r="V860" s="1"/>
      <c r="W860" s="1"/>
    </row>
    <row r="861" spans="20:23" ht="15.75" customHeight="1" x14ac:dyDescent="0.25">
      <c r="T861" s="6"/>
      <c r="U861" s="7"/>
      <c r="V861" s="1"/>
      <c r="W861" s="1"/>
    </row>
    <row r="862" spans="20:23" ht="15.75" customHeight="1" x14ac:dyDescent="0.25">
      <c r="T862" s="6"/>
      <c r="U862" s="7"/>
      <c r="V862" s="1"/>
      <c r="W862" s="1"/>
    </row>
    <row r="863" spans="20:23" ht="15.75" customHeight="1" x14ac:dyDescent="0.25">
      <c r="T863" s="6"/>
      <c r="U863" s="7"/>
      <c r="V863" s="1"/>
      <c r="W863" s="1"/>
    </row>
    <row r="864" spans="20:23" ht="15.75" customHeight="1" x14ac:dyDescent="0.25">
      <c r="T864" s="6"/>
      <c r="U864" s="7"/>
      <c r="V864" s="1"/>
      <c r="W864" s="1"/>
    </row>
    <row r="865" spans="20:23" ht="15.75" customHeight="1" x14ac:dyDescent="0.25">
      <c r="T865" s="6"/>
      <c r="U865" s="7"/>
      <c r="V865" s="1"/>
      <c r="W865" s="1"/>
    </row>
    <row r="866" spans="20:23" ht="15.75" customHeight="1" x14ac:dyDescent="0.25">
      <c r="T866" s="6"/>
      <c r="U866" s="7"/>
      <c r="V866" s="1"/>
      <c r="W866" s="1"/>
    </row>
    <row r="867" spans="20:23" ht="15.75" customHeight="1" x14ac:dyDescent="0.25">
      <c r="T867" s="6"/>
      <c r="U867" s="7"/>
      <c r="V867" s="1"/>
      <c r="W867" s="1"/>
    </row>
    <row r="868" spans="20:23" ht="15.75" customHeight="1" x14ac:dyDescent="0.25">
      <c r="T868" s="6"/>
      <c r="U868" s="7"/>
      <c r="V868" s="1"/>
      <c r="W868" s="1"/>
    </row>
    <row r="869" spans="20:23" ht="15.75" customHeight="1" x14ac:dyDescent="0.25">
      <c r="T869" s="6"/>
      <c r="U869" s="7"/>
      <c r="V869" s="1"/>
      <c r="W869" s="1"/>
    </row>
    <row r="870" spans="20:23" ht="15.75" customHeight="1" x14ac:dyDescent="0.25">
      <c r="T870" s="6"/>
      <c r="U870" s="7"/>
      <c r="V870" s="1"/>
      <c r="W870" s="1"/>
    </row>
    <row r="871" spans="20:23" ht="15.75" customHeight="1" x14ac:dyDescent="0.25">
      <c r="T871" s="6"/>
      <c r="U871" s="7"/>
      <c r="V871" s="1"/>
      <c r="W871" s="1"/>
    </row>
    <row r="872" spans="20:23" ht="15.75" customHeight="1" x14ac:dyDescent="0.25">
      <c r="T872" s="6"/>
      <c r="U872" s="7"/>
      <c r="V872" s="1"/>
      <c r="W872" s="1"/>
    </row>
    <row r="873" spans="20:23" ht="15.75" customHeight="1" x14ac:dyDescent="0.25">
      <c r="T873" s="6"/>
      <c r="U873" s="7"/>
      <c r="V873" s="1"/>
      <c r="W873" s="1"/>
    </row>
    <row r="874" spans="20:23" ht="15.75" customHeight="1" x14ac:dyDescent="0.25">
      <c r="T874" s="6"/>
      <c r="U874" s="7"/>
      <c r="V874" s="1"/>
      <c r="W874" s="1"/>
    </row>
    <row r="875" spans="20:23" ht="15.75" customHeight="1" x14ac:dyDescent="0.25">
      <c r="T875" s="6"/>
      <c r="U875" s="7"/>
      <c r="V875" s="1"/>
      <c r="W875" s="1"/>
    </row>
    <row r="876" spans="20:23" ht="15.75" customHeight="1" x14ac:dyDescent="0.25">
      <c r="T876" s="6"/>
      <c r="U876" s="7"/>
      <c r="V876" s="1"/>
      <c r="W876" s="1"/>
    </row>
    <row r="877" spans="20:23" ht="15.75" customHeight="1" x14ac:dyDescent="0.25">
      <c r="T877" s="6"/>
      <c r="U877" s="7"/>
      <c r="V877" s="1"/>
      <c r="W877" s="1"/>
    </row>
    <row r="878" spans="20:23" ht="15.75" customHeight="1" x14ac:dyDescent="0.25">
      <c r="T878" s="6"/>
      <c r="U878" s="7"/>
      <c r="V878" s="1"/>
      <c r="W878" s="1"/>
    </row>
    <row r="879" spans="20:23" ht="15.75" customHeight="1" x14ac:dyDescent="0.25">
      <c r="T879" s="6"/>
      <c r="U879" s="7"/>
      <c r="V879" s="1"/>
      <c r="W879" s="1"/>
    </row>
    <row r="880" spans="20:23" ht="15.75" customHeight="1" x14ac:dyDescent="0.25">
      <c r="T880" s="6"/>
      <c r="U880" s="7"/>
      <c r="V880" s="1"/>
      <c r="W880" s="1"/>
    </row>
    <row r="881" spans="20:23" ht="15.75" customHeight="1" x14ac:dyDescent="0.25">
      <c r="T881" s="6"/>
      <c r="U881" s="7"/>
      <c r="V881" s="1"/>
      <c r="W881" s="1"/>
    </row>
    <row r="882" spans="20:23" ht="15.75" customHeight="1" x14ac:dyDescent="0.25">
      <c r="T882" s="6"/>
      <c r="U882" s="7"/>
      <c r="V882" s="1"/>
      <c r="W882" s="1"/>
    </row>
    <row r="883" spans="20:23" ht="15.75" customHeight="1" x14ac:dyDescent="0.25">
      <c r="T883" s="6"/>
      <c r="U883" s="7"/>
      <c r="V883" s="1"/>
      <c r="W883" s="1"/>
    </row>
    <row r="884" spans="20:23" ht="15.75" customHeight="1" x14ac:dyDescent="0.25">
      <c r="T884" s="6"/>
      <c r="U884" s="7"/>
      <c r="V884" s="1"/>
      <c r="W884" s="1"/>
    </row>
    <row r="885" spans="20:23" ht="15.75" customHeight="1" x14ac:dyDescent="0.25">
      <c r="T885" s="6"/>
      <c r="U885" s="7"/>
      <c r="V885" s="1"/>
      <c r="W885" s="1"/>
    </row>
    <row r="886" spans="20:23" ht="15.75" customHeight="1" x14ac:dyDescent="0.25">
      <c r="T886" s="6"/>
      <c r="U886" s="7"/>
      <c r="V886" s="1"/>
      <c r="W886" s="1"/>
    </row>
    <row r="887" spans="20:23" ht="15.75" customHeight="1" x14ac:dyDescent="0.25">
      <c r="T887" s="6"/>
      <c r="U887" s="7"/>
      <c r="V887" s="1"/>
      <c r="W887" s="1"/>
    </row>
    <row r="888" spans="20:23" ht="15.75" customHeight="1" x14ac:dyDescent="0.25">
      <c r="T888" s="6"/>
      <c r="U888" s="7"/>
      <c r="V888" s="1"/>
      <c r="W888" s="1"/>
    </row>
    <row r="889" spans="20:23" ht="15.75" customHeight="1" x14ac:dyDescent="0.25">
      <c r="T889" s="6"/>
      <c r="U889" s="7"/>
      <c r="V889" s="1"/>
      <c r="W889" s="1"/>
    </row>
    <row r="890" spans="20:23" ht="15.75" customHeight="1" x14ac:dyDescent="0.25">
      <c r="T890" s="6"/>
      <c r="U890" s="7"/>
      <c r="V890" s="1"/>
      <c r="W890" s="1"/>
    </row>
    <row r="891" spans="20:23" ht="15.75" customHeight="1" x14ac:dyDescent="0.25">
      <c r="T891" s="6"/>
      <c r="U891" s="7"/>
      <c r="V891" s="1"/>
      <c r="W891" s="1"/>
    </row>
    <row r="892" spans="20:23" ht="15.75" customHeight="1" x14ac:dyDescent="0.25">
      <c r="T892" s="6"/>
      <c r="U892" s="7"/>
      <c r="V892" s="1"/>
      <c r="W892" s="1"/>
    </row>
    <row r="893" spans="20:23" ht="15.75" customHeight="1" x14ac:dyDescent="0.25">
      <c r="T893" s="6"/>
      <c r="U893" s="7"/>
      <c r="V893" s="1"/>
      <c r="W893" s="1"/>
    </row>
    <row r="894" spans="20:23" ht="15.75" customHeight="1" x14ac:dyDescent="0.25">
      <c r="T894" s="6"/>
      <c r="U894" s="7"/>
      <c r="V894" s="1"/>
      <c r="W894" s="1"/>
    </row>
    <row r="895" spans="20:23" ht="15.75" customHeight="1" x14ac:dyDescent="0.25">
      <c r="T895" s="6"/>
      <c r="U895" s="7"/>
      <c r="V895" s="1"/>
      <c r="W895" s="1"/>
    </row>
    <row r="896" spans="20:23" ht="15.75" customHeight="1" x14ac:dyDescent="0.25">
      <c r="T896" s="6"/>
      <c r="U896" s="7"/>
      <c r="V896" s="1"/>
      <c r="W896" s="1"/>
    </row>
    <row r="897" spans="20:23" ht="15.75" customHeight="1" x14ac:dyDescent="0.25">
      <c r="T897" s="6"/>
      <c r="U897" s="7"/>
      <c r="V897" s="1"/>
      <c r="W897" s="1"/>
    </row>
    <row r="898" spans="20:23" ht="15.75" customHeight="1" x14ac:dyDescent="0.25">
      <c r="T898" s="6"/>
      <c r="U898" s="7"/>
      <c r="V898" s="1"/>
      <c r="W898" s="1"/>
    </row>
    <row r="899" spans="20:23" ht="15.75" customHeight="1" x14ac:dyDescent="0.25">
      <c r="T899" s="6"/>
      <c r="U899" s="7"/>
      <c r="V899" s="1"/>
      <c r="W899" s="1"/>
    </row>
    <row r="900" spans="20:23" ht="15.75" customHeight="1" x14ac:dyDescent="0.25">
      <c r="T900" s="6"/>
      <c r="U900" s="7"/>
      <c r="V900" s="1"/>
      <c r="W900" s="1"/>
    </row>
    <row r="901" spans="20:23" ht="15.75" customHeight="1" x14ac:dyDescent="0.25">
      <c r="T901" s="6"/>
      <c r="U901" s="7"/>
      <c r="V901" s="1"/>
      <c r="W901" s="1"/>
    </row>
    <row r="902" spans="20:23" ht="15.75" customHeight="1" x14ac:dyDescent="0.25">
      <c r="T902" s="6"/>
      <c r="U902" s="7"/>
      <c r="V902" s="1"/>
      <c r="W902" s="1"/>
    </row>
    <row r="903" spans="20:23" ht="15.75" customHeight="1" x14ac:dyDescent="0.25">
      <c r="T903" s="6"/>
      <c r="U903" s="7"/>
      <c r="V903" s="1"/>
      <c r="W903" s="1"/>
    </row>
    <row r="904" spans="20:23" ht="15.75" customHeight="1" x14ac:dyDescent="0.25">
      <c r="T904" s="6"/>
      <c r="U904" s="7"/>
      <c r="V904" s="1"/>
      <c r="W904" s="1"/>
    </row>
    <row r="905" spans="20:23" ht="15.75" customHeight="1" x14ac:dyDescent="0.25">
      <c r="T905" s="6"/>
      <c r="U905" s="7"/>
      <c r="V905" s="1"/>
      <c r="W905" s="1"/>
    </row>
    <row r="906" spans="20:23" ht="15.75" customHeight="1" x14ac:dyDescent="0.25">
      <c r="T906" s="6"/>
      <c r="U906" s="7"/>
      <c r="V906" s="1"/>
      <c r="W906" s="1"/>
    </row>
    <row r="907" spans="20:23" ht="15.75" customHeight="1" x14ac:dyDescent="0.25">
      <c r="T907" s="6"/>
      <c r="U907" s="7"/>
      <c r="V907" s="1"/>
      <c r="W907" s="1"/>
    </row>
    <row r="908" spans="20:23" ht="15.75" customHeight="1" x14ac:dyDescent="0.25">
      <c r="T908" s="6"/>
      <c r="U908" s="7"/>
      <c r="V908" s="1"/>
      <c r="W908" s="1"/>
    </row>
    <row r="909" spans="20:23" ht="15.75" customHeight="1" x14ac:dyDescent="0.25">
      <c r="T909" s="6"/>
      <c r="U909" s="7"/>
      <c r="V909" s="1"/>
      <c r="W909" s="1"/>
    </row>
    <row r="910" spans="20:23" ht="15.75" customHeight="1" x14ac:dyDescent="0.25">
      <c r="T910" s="6"/>
      <c r="U910" s="7"/>
      <c r="V910" s="1"/>
      <c r="W910" s="1"/>
    </row>
    <row r="911" spans="20:23" ht="15.75" customHeight="1" x14ac:dyDescent="0.25">
      <c r="T911" s="6"/>
      <c r="U911" s="7"/>
      <c r="V911" s="1"/>
      <c r="W911" s="1"/>
    </row>
    <row r="912" spans="20:23" ht="15.75" customHeight="1" x14ac:dyDescent="0.25">
      <c r="T912" s="6"/>
      <c r="U912" s="7"/>
      <c r="V912" s="1"/>
      <c r="W912" s="1"/>
    </row>
    <row r="913" spans="20:23" ht="15.75" customHeight="1" x14ac:dyDescent="0.25">
      <c r="T913" s="6"/>
      <c r="U913" s="7"/>
      <c r="V913" s="1"/>
      <c r="W913" s="1"/>
    </row>
    <row r="914" spans="20:23" ht="15.75" customHeight="1" x14ac:dyDescent="0.25">
      <c r="T914" s="6"/>
      <c r="U914" s="7"/>
      <c r="V914" s="1"/>
      <c r="W914" s="1"/>
    </row>
    <row r="915" spans="20:23" ht="15.75" customHeight="1" x14ac:dyDescent="0.25">
      <c r="T915" s="6"/>
      <c r="U915" s="7"/>
      <c r="V915" s="1"/>
      <c r="W915" s="1"/>
    </row>
    <row r="916" spans="20:23" ht="15.75" customHeight="1" x14ac:dyDescent="0.25">
      <c r="T916" s="6"/>
      <c r="U916" s="7"/>
      <c r="V916" s="1"/>
      <c r="W916" s="1"/>
    </row>
    <row r="917" spans="20:23" ht="15.75" customHeight="1" x14ac:dyDescent="0.25">
      <c r="T917" s="6"/>
      <c r="U917" s="7"/>
      <c r="V917" s="1"/>
      <c r="W917" s="1"/>
    </row>
    <row r="918" spans="20:23" ht="15.75" customHeight="1" x14ac:dyDescent="0.25">
      <c r="T918" s="6"/>
      <c r="U918" s="7"/>
      <c r="V918" s="1"/>
      <c r="W918" s="1"/>
    </row>
    <row r="919" spans="20:23" ht="15.75" customHeight="1" x14ac:dyDescent="0.25">
      <c r="T919" s="6"/>
      <c r="U919" s="7"/>
      <c r="V919" s="1"/>
      <c r="W919" s="1"/>
    </row>
    <row r="920" spans="20:23" ht="15.75" customHeight="1" x14ac:dyDescent="0.25">
      <c r="T920" s="6"/>
      <c r="U920" s="7"/>
      <c r="V920" s="1"/>
      <c r="W920" s="1"/>
    </row>
    <row r="921" spans="20:23" ht="15.75" customHeight="1" x14ac:dyDescent="0.25">
      <c r="T921" s="6"/>
      <c r="U921" s="7"/>
      <c r="V921" s="1"/>
      <c r="W921" s="1"/>
    </row>
    <row r="922" spans="20:23" ht="15.75" customHeight="1" x14ac:dyDescent="0.25">
      <c r="T922" s="6"/>
      <c r="U922" s="7"/>
      <c r="V922" s="1"/>
      <c r="W922" s="1"/>
    </row>
    <row r="923" spans="20:23" ht="15.75" customHeight="1" x14ac:dyDescent="0.25">
      <c r="T923" s="6"/>
      <c r="U923" s="7"/>
      <c r="V923" s="1"/>
      <c r="W923" s="1"/>
    </row>
    <row r="924" spans="20:23" ht="15.75" customHeight="1" x14ac:dyDescent="0.25">
      <c r="T924" s="6"/>
      <c r="U924" s="7"/>
      <c r="V924" s="1"/>
      <c r="W924" s="1"/>
    </row>
    <row r="925" spans="20:23" ht="15.75" customHeight="1" x14ac:dyDescent="0.25">
      <c r="T925" s="6"/>
      <c r="U925" s="7"/>
      <c r="V925" s="1"/>
      <c r="W925" s="1"/>
    </row>
    <row r="926" spans="20:23" ht="15.75" customHeight="1" x14ac:dyDescent="0.25">
      <c r="T926" s="6"/>
      <c r="U926" s="7"/>
      <c r="V926" s="1"/>
      <c r="W926" s="1"/>
    </row>
    <row r="927" spans="20:23" ht="15.75" customHeight="1" x14ac:dyDescent="0.25">
      <c r="T927" s="6"/>
      <c r="U927" s="7"/>
      <c r="V927" s="1"/>
      <c r="W927" s="1"/>
    </row>
    <row r="928" spans="20:23" ht="15.75" customHeight="1" x14ac:dyDescent="0.25">
      <c r="T928" s="6"/>
      <c r="U928" s="7"/>
      <c r="V928" s="1"/>
      <c r="W928" s="1"/>
    </row>
    <row r="929" spans="20:23" ht="15.75" customHeight="1" x14ac:dyDescent="0.25">
      <c r="T929" s="6"/>
      <c r="U929" s="7"/>
      <c r="V929" s="1"/>
      <c r="W929" s="1"/>
    </row>
    <row r="930" spans="20:23" ht="15.75" customHeight="1" x14ac:dyDescent="0.25">
      <c r="T930" s="6"/>
      <c r="U930" s="7"/>
      <c r="V930" s="1"/>
      <c r="W930" s="1"/>
    </row>
    <row r="931" spans="20:23" ht="15.75" customHeight="1" x14ac:dyDescent="0.25">
      <c r="T931" s="6"/>
      <c r="U931" s="7"/>
      <c r="V931" s="1"/>
      <c r="W931" s="1"/>
    </row>
    <row r="932" spans="20:23" ht="15.75" customHeight="1" x14ac:dyDescent="0.25">
      <c r="T932" s="6"/>
      <c r="U932" s="7"/>
      <c r="V932" s="1"/>
      <c r="W932" s="1"/>
    </row>
    <row r="933" spans="20:23" ht="15.75" customHeight="1" x14ac:dyDescent="0.25">
      <c r="T933" s="6"/>
      <c r="U933" s="7"/>
      <c r="V933" s="1"/>
      <c r="W933" s="1"/>
    </row>
    <row r="934" spans="20:23" ht="15.75" customHeight="1" x14ac:dyDescent="0.25">
      <c r="T934" s="6"/>
      <c r="U934" s="7"/>
      <c r="V934" s="1"/>
      <c r="W934" s="1"/>
    </row>
    <row r="935" spans="20:23" ht="15.75" customHeight="1" x14ac:dyDescent="0.25">
      <c r="T935" s="6"/>
      <c r="U935" s="7"/>
      <c r="V935" s="1"/>
      <c r="W935" s="1"/>
    </row>
    <row r="936" spans="20:23" ht="15.75" customHeight="1" x14ac:dyDescent="0.25">
      <c r="T936" s="6"/>
      <c r="U936" s="7"/>
      <c r="V936" s="1"/>
      <c r="W936" s="1"/>
    </row>
    <row r="937" spans="20:23" ht="15.75" customHeight="1" x14ac:dyDescent="0.25">
      <c r="T937" s="6"/>
      <c r="U937" s="7"/>
      <c r="V937" s="1"/>
      <c r="W937" s="1"/>
    </row>
    <row r="938" spans="20:23" ht="15.75" customHeight="1" x14ac:dyDescent="0.25">
      <c r="T938" s="6"/>
      <c r="U938" s="7"/>
      <c r="V938" s="1"/>
      <c r="W938" s="1"/>
    </row>
    <row r="939" spans="20:23" ht="15.75" customHeight="1" x14ac:dyDescent="0.25">
      <c r="T939" s="6"/>
      <c r="U939" s="7"/>
      <c r="V939" s="1"/>
      <c r="W939" s="1"/>
    </row>
    <row r="940" spans="20:23" ht="15.75" customHeight="1" x14ac:dyDescent="0.25">
      <c r="T940" s="6"/>
      <c r="U940" s="7"/>
      <c r="V940" s="1"/>
      <c r="W940" s="1"/>
    </row>
    <row r="941" spans="20:23" ht="15.75" customHeight="1" x14ac:dyDescent="0.25">
      <c r="T941" s="6"/>
      <c r="U941" s="7"/>
      <c r="V941" s="1"/>
      <c r="W941" s="1"/>
    </row>
    <row r="942" spans="20:23" ht="15.75" customHeight="1" x14ac:dyDescent="0.25">
      <c r="T942" s="6"/>
      <c r="U942" s="7"/>
      <c r="V942" s="1"/>
      <c r="W942" s="1"/>
    </row>
    <row r="943" spans="20:23" ht="15.75" customHeight="1" x14ac:dyDescent="0.25">
      <c r="T943" s="6"/>
      <c r="U943" s="7"/>
      <c r="V943" s="1"/>
      <c r="W943" s="1"/>
    </row>
    <row r="944" spans="20:23" ht="15.75" customHeight="1" x14ac:dyDescent="0.25">
      <c r="T944" s="6"/>
      <c r="U944" s="7"/>
      <c r="V944" s="1"/>
      <c r="W944" s="1"/>
    </row>
    <row r="945" spans="20:23" ht="15.75" customHeight="1" x14ac:dyDescent="0.25">
      <c r="T945" s="6"/>
      <c r="U945" s="7"/>
      <c r="V945" s="1"/>
      <c r="W945" s="1"/>
    </row>
    <row r="946" spans="20:23" ht="15.75" customHeight="1" x14ac:dyDescent="0.25">
      <c r="T946" s="6"/>
      <c r="U946" s="7"/>
      <c r="V946" s="1"/>
      <c r="W946" s="1"/>
    </row>
    <row r="947" spans="20:23" ht="15.75" customHeight="1" x14ac:dyDescent="0.25">
      <c r="T947" s="6"/>
      <c r="U947" s="7"/>
      <c r="V947" s="1"/>
      <c r="W947" s="1"/>
    </row>
    <row r="948" spans="20:23" ht="15.75" customHeight="1" x14ac:dyDescent="0.25">
      <c r="T948" s="6"/>
      <c r="U948" s="7"/>
      <c r="V948" s="1"/>
      <c r="W948" s="1"/>
    </row>
    <row r="949" spans="20:23" ht="15.75" customHeight="1" x14ac:dyDescent="0.25">
      <c r="T949" s="6"/>
      <c r="U949" s="7"/>
      <c r="V949" s="1"/>
      <c r="W949" s="1"/>
    </row>
    <row r="950" spans="20:23" ht="15.75" customHeight="1" x14ac:dyDescent="0.25">
      <c r="T950" s="6"/>
      <c r="U950" s="7"/>
      <c r="V950" s="1"/>
      <c r="W950" s="1"/>
    </row>
    <row r="951" spans="20:23" ht="15.75" customHeight="1" x14ac:dyDescent="0.25">
      <c r="T951" s="6"/>
      <c r="U951" s="7"/>
      <c r="V951" s="1"/>
      <c r="W951" s="1"/>
    </row>
    <row r="952" spans="20:23" ht="15.75" customHeight="1" x14ac:dyDescent="0.25">
      <c r="T952" s="6"/>
      <c r="U952" s="7"/>
      <c r="V952" s="1"/>
      <c r="W952" s="1"/>
    </row>
    <row r="953" spans="20:23" ht="15.75" customHeight="1" x14ac:dyDescent="0.25">
      <c r="T953" s="6"/>
      <c r="U953" s="7"/>
      <c r="V953" s="1"/>
      <c r="W953" s="1"/>
    </row>
    <row r="954" spans="20:23" ht="15.75" customHeight="1" x14ac:dyDescent="0.25">
      <c r="T954" s="6"/>
      <c r="U954" s="7"/>
      <c r="V954" s="1"/>
      <c r="W954" s="1"/>
    </row>
    <row r="955" spans="20:23" ht="15.75" customHeight="1" x14ac:dyDescent="0.25">
      <c r="T955" s="6"/>
      <c r="U955" s="7"/>
      <c r="V955" s="1"/>
      <c r="W955" s="1"/>
    </row>
    <row r="956" spans="20:23" ht="15.75" customHeight="1" x14ac:dyDescent="0.25">
      <c r="T956" s="6"/>
      <c r="U956" s="7"/>
      <c r="V956" s="1"/>
      <c r="W956" s="1"/>
    </row>
    <row r="957" spans="20:23" ht="15.75" customHeight="1" x14ac:dyDescent="0.25">
      <c r="T957" s="6"/>
      <c r="U957" s="7"/>
      <c r="V957" s="1"/>
      <c r="W957" s="1"/>
    </row>
    <row r="958" spans="20:23" ht="15.75" customHeight="1" x14ac:dyDescent="0.25">
      <c r="T958" s="6"/>
      <c r="U958" s="7"/>
      <c r="V958" s="1"/>
      <c r="W958" s="1"/>
    </row>
    <row r="959" spans="20:23" ht="15.75" customHeight="1" x14ac:dyDescent="0.25">
      <c r="T959" s="6"/>
      <c r="U959" s="7"/>
      <c r="V959" s="1"/>
      <c r="W959" s="1"/>
    </row>
    <row r="960" spans="20:23" ht="15.75" customHeight="1" x14ac:dyDescent="0.25">
      <c r="T960" s="6"/>
      <c r="U960" s="7"/>
      <c r="V960" s="1"/>
      <c r="W960" s="1"/>
    </row>
    <row r="961" spans="20:23" ht="15.75" customHeight="1" x14ac:dyDescent="0.25">
      <c r="T961" s="6"/>
      <c r="U961" s="7"/>
      <c r="V961" s="1"/>
      <c r="W961" s="1"/>
    </row>
    <row r="962" spans="20:23" ht="15.75" customHeight="1" x14ac:dyDescent="0.25">
      <c r="T962" s="6"/>
      <c r="U962" s="7"/>
      <c r="V962" s="1"/>
      <c r="W962" s="1"/>
    </row>
    <row r="963" spans="20:23" ht="15.75" customHeight="1" x14ac:dyDescent="0.25">
      <c r="T963" s="6"/>
      <c r="U963" s="7"/>
      <c r="V963" s="1"/>
      <c r="W963" s="1"/>
    </row>
    <row r="964" spans="20:23" ht="15.75" customHeight="1" x14ac:dyDescent="0.25">
      <c r="T964" s="6"/>
      <c r="U964" s="7"/>
      <c r="V964" s="1"/>
      <c r="W964" s="1"/>
    </row>
    <row r="965" spans="20:23" ht="15.75" customHeight="1" x14ac:dyDescent="0.25">
      <c r="T965" s="6"/>
      <c r="U965" s="7"/>
      <c r="V965" s="1"/>
      <c r="W965" s="1"/>
    </row>
    <row r="966" spans="20:23" ht="15.75" customHeight="1" x14ac:dyDescent="0.25">
      <c r="T966" s="6"/>
      <c r="U966" s="7"/>
      <c r="V966" s="1"/>
      <c r="W966" s="1"/>
    </row>
    <row r="967" spans="20:23" ht="15.75" customHeight="1" x14ac:dyDescent="0.25">
      <c r="T967" s="6"/>
      <c r="U967" s="7"/>
      <c r="V967" s="1"/>
      <c r="W967" s="1"/>
    </row>
    <row r="968" spans="20:23" ht="15.75" customHeight="1" x14ac:dyDescent="0.25">
      <c r="T968" s="6"/>
      <c r="U968" s="7"/>
      <c r="V968" s="1"/>
      <c r="W968" s="1"/>
    </row>
    <row r="969" spans="20:23" ht="15.75" customHeight="1" x14ac:dyDescent="0.25">
      <c r="T969" s="6"/>
      <c r="U969" s="7"/>
      <c r="V969" s="1"/>
      <c r="W969" s="1"/>
    </row>
    <row r="970" spans="20:23" ht="15.75" customHeight="1" x14ac:dyDescent="0.25">
      <c r="T970" s="6"/>
      <c r="U970" s="7"/>
      <c r="V970" s="1"/>
      <c r="W970" s="1"/>
    </row>
    <row r="971" spans="20:23" ht="15.75" customHeight="1" x14ac:dyDescent="0.25">
      <c r="T971" s="6"/>
      <c r="U971" s="7"/>
      <c r="V971" s="1"/>
      <c r="W971" s="1"/>
    </row>
    <row r="972" spans="20:23" ht="15.75" customHeight="1" x14ac:dyDescent="0.25">
      <c r="T972" s="6"/>
      <c r="U972" s="7"/>
      <c r="V972" s="1"/>
      <c r="W972" s="1"/>
    </row>
    <row r="973" spans="20:23" ht="15.75" customHeight="1" x14ac:dyDescent="0.25">
      <c r="T973" s="6"/>
      <c r="U973" s="7"/>
      <c r="V973" s="1"/>
      <c r="W973" s="1"/>
    </row>
    <row r="974" spans="20:23" ht="15.75" customHeight="1" x14ac:dyDescent="0.25">
      <c r="T974" s="6"/>
      <c r="U974" s="7"/>
      <c r="V974" s="1"/>
      <c r="W974" s="1"/>
    </row>
    <row r="975" spans="20:23" ht="15.75" customHeight="1" x14ac:dyDescent="0.25">
      <c r="T975" s="6"/>
      <c r="U975" s="7"/>
      <c r="V975" s="1"/>
      <c r="W975" s="1"/>
    </row>
    <row r="976" spans="20:23" ht="15.75" customHeight="1" x14ac:dyDescent="0.25">
      <c r="T976" s="6"/>
      <c r="U976" s="7"/>
      <c r="V976" s="1"/>
      <c r="W976" s="1"/>
    </row>
    <row r="977" spans="20:23" ht="15.75" customHeight="1" x14ac:dyDescent="0.25">
      <c r="T977" s="6"/>
      <c r="U977" s="7"/>
      <c r="V977" s="1"/>
      <c r="W977" s="1"/>
    </row>
    <row r="978" spans="20:23" ht="15.75" customHeight="1" x14ac:dyDescent="0.25">
      <c r="T978" s="6"/>
      <c r="U978" s="7"/>
      <c r="V978" s="1"/>
      <c r="W978" s="1"/>
    </row>
    <row r="979" spans="20:23" ht="15.75" customHeight="1" x14ac:dyDescent="0.25">
      <c r="T979" s="6"/>
      <c r="U979" s="7"/>
      <c r="V979" s="1"/>
      <c r="W979" s="1"/>
    </row>
    <row r="980" spans="20:23" ht="15.75" customHeight="1" x14ac:dyDescent="0.25">
      <c r="T980" s="6"/>
      <c r="U980" s="7"/>
      <c r="V980" s="1"/>
      <c r="W980" s="1"/>
    </row>
    <row r="981" spans="20:23" ht="15.75" customHeight="1" x14ac:dyDescent="0.25">
      <c r="T981" s="6"/>
      <c r="U981" s="7"/>
      <c r="V981" s="1"/>
      <c r="W981" s="1"/>
    </row>
    <row r="982" spans="20:23" ht="15.75" customHeight="1" x14ac:dyDescent="0.25">
      <c r="T982" s="6"/>
      <c r="U982" s="7"/>
      <c r="V982" s="1"/>
      <c r="W982" s="1"/>
    </row>
    <row r="983" spans="20:23" ht="15.75" customHeight="1" x14ac:dyDescent="0.25">
      <c r="T983" s="6"/>
      <c r="U983" s="7"/>
      <c r="V983" s="1"/>
      <c r="W983" s="1"/>
    </row>
    <row r="984" spans="20:23" ht="15.75" customHeight="1" x14ac:dyDescent="0.25">
      <c r="T984" s="6"/>
      <c r="U984" s="7"/>
      <c r="V984" s="1"/>
      <c r="W984" s="1"/>
    </row>
    <row r="985" spans="20:23" ht="15.75" customHeight="1" x14ac:dyDescent="0.25">
      <c r="T985" s="6"/>
      <c r="U985" s="7"/>
      <c r="V985" s="1"/>
      <c r="W985" s="1"/>
    </row>
    <row r="986" spans="20:23" ht="15.75" customHeight="1" x14ac:dyDescent="0.25">
      <c r="T986" s="6"/>
      <c r="U986" s="7"/>
      <c r="V986" s="1"/>
      <c r="W986" s="1"/>
    </row>
    <row r="987" spans="20:23" ht="15.75" customHeight="1" x14ac:dyDescent="0.25">
      <c r="T987" s="6"/>
      <c r="U987" s="7"/>
      <c r="V987" s="1"/>
      <c r="W987" s="1"/>
    </row>
    <row r="988" spans="20:23" ht="15.75" customHeight="1" x14ac:dyDescent="0.25">
      <c r="T988" s="6"/>
      <c r="U988" s="7"/>
      <c r="V988" s="1"/>
      <c r="W988" s="1"/>
    </row>
    <row r="989" spans="20:23" ht="15.75" customHeight="1" x14ac:dyDescent="0.25">
      <c r="T989" s="6"/>
      <c r="U989" s="7"/>
      <c r="V989" s="1"/>
      <c r="W989" s="1"/>
    </row>
    <row r="990" spans="20:23" ht="15.75" customHeight="1" x14ac:dyDescent="0.25">
      <c r="T990" s="6"/>
      <c r="U990" s="7"/>
      <c r="V990" s="1"/>
      <c r="W990" s="1"/>
    </row>
    <row r="991" spans="20:23" ht="15.75" customHeight="1" x14ac:dyDescent="0.25">
      <c r="T991" s="6"/>
      <c r="U991" s="7"/>
      <c r="V991" s="1"/>
      <c r="W991" s="1"/>
    </row>
    <row r="992" spans="20:23" ht="15.75" customHeight="1" x14ac:dyDescent="0.25">
      <c r="T992" s="6"/>
      <c r="U992" s="7"/>
      <c r="V992" s="1"/>
      <c r="W992" s="1"/>
    </row>
    <row r="993" spans="20:23" ht="15.75" customHeight="1" x14ac:dyDescent="0.25">
      <c r="T993" s="6"/>
      <c r="U993" s="7"/>
      <c r="V993" s="1"/>
      <c r="W993" s="1"/>
    </row>
    <row r="994" spans="20:23" ht="15.75" customHeight="1" x14ac:dyDescent="0.25">
      <c r="T994" s="6"/>
      <c r="U994" s="7"/>
      <c r="V994" s="1"/>
      <c r="W994" s="1"/>
    </row>
    <row r="995" spans="20:23" ht="15.75" customHeight="1" x14ac:dyDescent="0.25">
      <c r="T995" s="6"/>
      <c r="U995" s="7"/>
      <c r="V995" s="1"/>
      <c r="W995" s="1"/>
    </row>
    <row r="996" spans="20:23" ht="15.75" customHeight="1" x14ac:dyDescent="0.25">
      <c r="T996" s="6"/>
      <c r="U996" s="7"/>
      <c r="V996" s="1"/>
      <c r="W996" s="1"/>
    </row>
    <row r="997" spans="20:23" ht="15.75" customHeight="1" x14ac:dyDescent="0.25">
      <c r="T997" s="6"/>
      <c r="U997" s="7"/>
      <c r="V997" s="1"/>
      <c r="W997" s="1"/>
    </row>
    <row r="998" spans="20:23" ht="15.75" customHeight="1" x14ac:dyDescent="0.25">
      <c r="T998" s="6"/>
      <c r="U998" s="7"/>
      <c r="V998" s="1"/>
      <c r="W998" s="1"/>
    </row>
    <row r="999" spans="20:23" ht="15.75" customHeight="1" x14ac:dyDescent="0.25">
      <c r="T999" s="6"/>
      <c r="U999" s="7"/>
      <c r="V999" s="1"/>
      <c r="W999" s="1"/>
    </row>
    <row r="1000" spans="20:23" ht="15.75" customHeight="1" x14ac:dyDescent="0.25">
      <c r="T1000" s="6"/>
      <c r="U1000" s="7"/>
      <c r="V1000" s="1"/>
      <c r="W1000" s="1"/>
    </row>
  </sheetData>
  <mergeCells count="5">
    <mergeCell ref="AC1:AN1"/>
    <mergeCell ref="AO1:AZ1"/>
    <mergeCell ref="BA1:BL1"/>
    <mergeCell ref="BM1:BN1"/>
    <mergeCell ref="BX1:BZ1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B1000"/>
  <sheetViews>
    <sheetView topLeftCell="B1" workbookViewId="0"/>
  </sheetViews>
  <sheetFormatPr defaultColWidth="12.625" defaultRowHeight="15" customHeight="1" x14ac:dyDescent="0.2"/>
  <cols>
    <col min="1" max="1" width="29" hidden="1" customWidth="1"/>
    <col min="2" max="3" width="8" customWidth="1"/>
    <col min="4" max="4" width="45.625" customWidth="1"/>
    <col min="5" max="5" width="14.25" customWidth="1"/>
    <col min="6" max="7" width="17.75" customWidth="1"/>
    <col min="8" max="8" width="17.75" hidden="1" customWidth="1"/>
    <col min="9" max="10" width="15.25" hidden="1" customWidth="1"/>
    <col min="11" max="16" width="13.25" hidden="1" customWidth="1"/>
    <col min="17" max="19" width="13.25" customWidth="1"/>
    <col min="20" max="35" width="13.25" hidden="1" customWidth="1"/>
    <col min="36" max="36" width="13.625" hidden="1" customWidth="1"/>
    <col min="37" max="37" width="13.25" hidden="1" customWidth="1"/>
    <col min="38" max="38" width="13.375" hidden="1" customWidth="1"/>
    <col min="39" max="45" width="13.25" hidden="1" customWidth="1"/>
    <col min="46" max="47" width="12.875" hidden="1" customWidth="1"/>
    <col min="48" max="48" width="14.25" hidden="1" customWidth="1"/>
    <col min="49" max="50" width="12.875" hidden="1" customWidth="1"/>
    <col min="51" max="52" width="15.5" hidden="1" customWidth="1"/>
    <col min="53" max="58" width="13.75" hidden="1" customWidth="1"/>
    <col min="59" max="59" width="13" hidden="1" customWidth="1"/>
    <col min="60" max="61" width="13.25" hidden="1" customWidth="1"/>
    <col min="62" max="62" width="12" hidden="1" customWidth="1"/>
    <col min="63" max="63" width="9.5" hidden="1" customWidth="1"/>
    <col min="64" max="65" width="12.875" hidden="1" customWidth="1"/>
    <col min="66" max="66" width="10.5" hidden="1" customWidth="1"/>
    <col min="67" max="71" width="11.875" hidden="1" customWidth="1"/>
    <col min="72" max="72" width="12.5" hidden="1" customWidth="1"/>
    <col min="73" max="75" width="9.75" hidden="1" customWidth="1"/>
    <col min="76" max="77" width="7.75" customWidth="1"/>
    <col min="78" max="80" width="8" customWidth="1"/>
  </cols>
  <sheetData>
    <row r="1" spans="1:80" x14ac:dyDescent="0.25">
      <c r="A1" s="1" t="s">
        <v>0</v>
      </c>
      <c r="B1" s="1" t="s">
        <v>1</v>
      </c>
      <c r="F1" s="60">
        <v>2020</v>
      </c>
      <c r="K1" s="60"/>
      <c r="L1" s="100"/>
      <c r="M1" s="107"/>
      <c r="N1" s="107"/>
      <c r="O1" s="107"/>
      <c r="P1" s="107"/>
      <c r="Q1" s="99">
        <v>2019</v>
      </c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0">
        <v>2018</v>
      </c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8"/>
      <c r="AO1" s="102">
        <v>2017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8"/>
      <c r="BA1" s="105"/>
      <c r="BB1" s="109"/>
      <c r="BC1" s="31"/>
      <c r="BD1" s="31"/>
      <c r="BE1" s="31"/>
      <c r="BF1" s="31"/>
      <c r="BG1" s="31"/>
      <c r="BH1" s="86"/>
      <c r="BI1" s="87"/>
      <c r="BJ1" s="87"/>
      <c r="BK1" s="87"/>
      <c r="BL1" s="104">
        <v>2015</v>
      </c>
      <c r="BM1" s="109"/>
      <c r="BN1" s="110"/>
      <c r="BO1" s="86"/>
      <c r="BP1" s="32"/>
      <c r="BQ1" s="87"/>
      <c r="BR1" s="87"/>
      <c r="BS1" s="86"/>
      <c r="BT1" s="86"/>
      <c r="BU1" s="86"/>
      <c r="BV1" s="86"/>
      <c r="BW1" s="87"/>
    </row>
    <row r="2" spans="1:80" x14ac:dyDescent="0.25"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14</v>
      </c>
      <c r="K2" s="5" t="s">
        <v>15</v>
      </c>
      <c r="L2" s="5" t="s">
        <v>5</v>
      </c>
      <c r="M2" s="5" t="s">
        <v>16</v>
      </c>
      <c r="N2" s="5" t="s">
        <v>17</v>
      </c>
      <c r="O2" s="5" t="s">
        <v>18</v>
      </c>
      <c r="P2" s="5" t="s">
        <v>19</v>
      </c>
      <c r="Q2" s="5" t="s">
        <v>20</v>
      </c>
      <c r="R2" s="5" t="s">
        <v>21</v>
      </c>
      <c r="S2" s="5" t="s">
        <v>22</v>
      </c>
      <c r="T2" s="5" t="s">
        <v>23</v>
      </c>
      <c r="U2" s="5" t="s">
        <v>24</v>
      </c>
      <c r="V2" s="5" t="s">
        <v>14</v>
      </c>
      <c r="W2" s="5" t="s">
        <v>15</v>
      </c>
      <c r="X2" s="5" t="s">
        <v>5</v>
      </c>
      <c r="Y2" s="5" t="s">
        <v>16</v>
      </c>
      <c r="Z2" s="5" t="s">
        <v>17</v>
      </c>
      <c r="AA2" s="5" t="s">
        <v>18</v>
      </c>
      <c r="AB2" s="5" t="s">
        <v>19</v>
      </c>
      <c r="AC2" s="5" t="s">
        <v>20</v>
      </c>
      <c r="AD2" s="5" t="s">
        <v>21</v>
      </c>
      <c r="AE2" s="5" t="s">
        <v>22</v>
      </c>
      <c r="AF2" s="5" t="s">
        <v>23</v>
      </c>
      <c r="AG2" s="5" t="s">
        <v>24</v>
      </c>
      <c r="AH2" s="5" t="s">
        <v>14</v>
      </c>
      <c r="AI2" s="5" t="s">
        <v>15</v>
      </c>
      <c r="AJ2" s="5" t="s">
        <v>5</v>
      </c>
      <c r="AK2" s="5" t="s">
        <v>16</v>
      </c>
      <c r="AL2" s="5" t="s">
        <v>17</v>
      </c>
      <c r="AM2" s="5" t="s">
        <v>18</v>
      </c>
      <c r="AN2" s="5" t="s">
        <v>19</v>
      </c>
      <c r="AO2" s="35" t="s">
        <v>20</v>
      </c>
      <c r="AP2" s="35" t="s">
        <v>21</v>
      </c>
      <c r="AQ2" s="35" t="s">
        <v>22</v>
      </c>
      <c r="AR2" s="35" t="s">
        <v>23</v>
      </c>
      <c r="AS2" s="35" t="s">
        <v>24</v>
      </c>
      <c r="AT2" s="35" t="s">
        <v>14</v>
      </c>
      <c r="AU2" s="35" t="s">
        <v>15</v>
      </c>
      <c r="AV2" s="35" t="s">
        <v>5</v>
      </c>
      <c r="AW2" s="35" t="s">
        <v>16</v>
      </c>
      <c r="AX2" s="35" t="s">
        <v>17</v>
      </c>
      <c r="AY2" s="35" t="s">
        <v>18</v>
      </c>
      <c r="AZ2" s="35" t="s">
        <v>19</v>
      </c>
      <c r="BA2" s="35" t="s">
        <v>21</v>
      </c>
      <c r="BB2" s="35" t="s">
        <v>22</v>
      </c>
      <c r="BC2" s="35" t="s">
        <v>23</v>
      </c>
      <c r="BD2" s="35" t="s">
        <v>24</v>
      </c>
      <c r="BE2" s="35" t="s">
        <v>14</v>
      </c>
      <c r="BF2" s="35" t="s">
        <v>15</v>
      </c>
      <c r="BG2" s="35" t="s">
        <v>5</v>
      </c>
      <c r="BH2" s="35" t="s">
        <v>16</v>
      </c>
      <c r="BI2" s="35" t="s">
        <v>17</v>
      </c>
      <c r="BJ2" s="35" t="s">
        <v>18</v>
      </c>
      <c r="BK2" s="35" t="s">
        <v>19</v>
      </c>
      <c r="BL2" s="35" t="s">
        <v>20</v>
      </c>
      <c r="BM2" s="35" t="s">
        <v>21</v>
      </c>
      <c r="BN2" s="35" t="s">
        <v>22</v>
      </c>
      <c r="BO2" s="35" t="s">
        <v>23</v>
      </c>
      <c r="BP2" s="35" t="s">
        <v>24</v>
      </c>
      <c r="BQ2" s="35" t="s">
        <v>14</v>
      </c>
      <c r="BR2" s="35" t="s">
        <v>15</v>
      </c>
      <c r="BS2" s="35" t="s">
        <v>5</v>
      </c>
      <c r="BT2" s="35" t="s">
        <v>16</v>
      </c>
      <c r="BU2" s="35" t="s">
        <v>17</v>
      </c>
      <c r="BV2" s="35" t="s">
        <v>18</v>
      </c>
      <c r="BW2" s="35" t="s">
        <v>19</v>
      </c>
    </row>
    <row r="3" spans="1:80" x14ac:dyDescent="0.25">
      <c r="A3" s="36" t="s">
        <v>25</v>
      </c>
      <c r="D3" s="1" t="s">
        <v>26</v>
      </c>
      <c r="E3" s="1">
        <f>329+17</f>
        <v>346</v>
      </c>
      <c r="F3" s="1">
        <f>320+17</f>
        <v>337</v>
      </c>
      <c r="G3" s="1">
        <f>323+17</f>
        <v>340</v>
      </c>
      <c r="H3" s="1">
        <f>319+17</f>
        <v>336</v>
      </c>
      <c r="I3" s="1">
        <f>325+17</f>
        <v>342</v>
      </c>
      <c r="J3" s="1">
        <v>334</v>
      </c>
      <c r="K3" s="1">
        <v>323</v>
      </c>
      <c r="L3" s="1">
        <v>328</v>
      </c>
      <c r="M3" s="1">
        <v>326</v>
      </c>
      <c r="N3" s="1">
        <v>328</v>
      </c>
      <c r="O3" s="1">
        <v>332</v>
      </c>
      <c r="P3" s="1">
        <v>349</v>
      </c>
      <c r="Q3" s="1">
        <v>360</v>
      </c>
      <c r="R3" s="1">
        <v>360</v>
      </c>
      <c r="S3" s="1">
        <v>363</v>
      </c>
      <c r="T3" s="1">
        <v>371</v>
      </c>
      <c r="U3" s="1">
        <v>378</v>
      </c>
      <c r="V3" s="1">
        <v>374</v>
      </c>
      <c r="W3" s="1">
        <v>375</v>
      </c>
      <c r="X3" s="1">
        <v>376</v>
      </c>
      <c r="Y3" s="1">
        <v>383</v>
      </c>
      <c r="Z3" s="1">
        <v>387</v>
      </c>
      <c r="AA3" s="1">
        <v>386</v>
      </c>
      <c r="AB3" s="1">
        <v>392</v>
      </c>
      <c r="AC3" s="1">
        <v>405</v>
      </c>
      <c r="AD3" s="1">
        <v>407</v>
      </c>
      <c r="AE3" s="1">
        <v>399</v>
      </c>
      <c r="AF3" s="1">
        <v>396</v>
      </c>
      <c r="AG3" s="1">
        <v>396</v>
      </c>
      <c r="AH3" s="1">
        <v>397</v>
      </c>
      <c r="AI3" s="1">
        <v>400</v>
      </c>
      <c r="AJ3" s="1">
        <v>395</v>
      </c>
      <c r="AK3" s="1">
        <v>387</v>
      </c>
      <c r="AL3" s="1">
        <v>385</v>
      </c>
      <c r="AM3" s="1">
        <v>392</v>
      </c>
      <c r="AN3" s="1">
        <v>397</v>
      </c>
      <c r="AO3" s="1">
        <v>418</v>
      </c>
      <c r="AP3" s="1">
        <v>417</v>
      </c>
      <c r="AQ3" s="1">
        <v>421</v>
      </c>
      <c r="AR3" s="1">
        <f>412+14</f>
        <v>426</v>
      </c>
      <c r="AS3" s="1">
        <v>417</v>
      </c>
      <c r="AT3" s="1">
        <v>424</v>
      </c>
      <c r="AU3" s="1">
        <v>424</v>
      </c>
      <c r="AV3" s="1">
        <v>420</v>
      </c>
      <c r="AW3" s="1">
        <v>420</v>
      </c>
      <c r="AX3" s="1">
        <v>423</v>
      </c>
      <c r="AY3" s="1">
        <f>404+13</f>
        <v>417</v>
      </c>
      <c r="AZ3" s="1">
        <v>421</v>
      </c>
      <c r="BA3" s="1">
        <v>451</v>
      </c>
      <c r="BB3" s="1">
        <f>433+13</f>
        <v>446</v>
      </c>
      <c r="BC3" s="1">
        <f>428+13</f>
        <v>441</v>
      </c>
      <c r="BD3" s="1">
        <v>439</v>
      </c>
      <c r="BE3" s="1">
        <v>431</v>
      </c>
      <c r="BF3" s="1">
        <v>440</v>
      </c>
      <c r="BG3" s="1">
        <v>445</v>
      </c>
      <c r="BH3" s="1">
        <v>441</v>
      </c>
      <c r="BI3" s="1">
        <v>444</v>
      </c>
      <c r="BJ3" s="1">
        <v>441</v>
      </c>
      <c r="BK3" s="1">
        <v>449</v>
      </c>
      <c r="BL3" s="1">
        <v>440</v>
      </c>
      <c r="BM3" s="1">
        <v>438</v>
      </c>
      <c r="BN3" s="1">
        <v>437</v>
      </c>
      <c r="BO3" s="1">
        <v>435</v>
      </c>
      <c r="BP3" s="1">
        <v>433</v>
      </c>
      <c r="BQ3" s="1">
        <v>432</v>
      </c>
      <c r="BR3" s="1">
        <v>430</v>
      </c>
      <c r="BS3" s="1">
        <v>428</v>
      </c>
      <c r="BT3" s="1">
        <v>430</v>
      </c>
      <c r="BU3" s="1">
        <v>426</v>
      </c>
      <c r="BV3" s="1">
        <v>428</v>
      </c>
      <c r="BW3" s="1">
        <v>439</v>
      </c>
    </row>
    <row r="4" spans="1:80" x14ac:dyDescent="0.25">
      <c r="A4" s="1" t="s">
        <v>57</v>
      </c>
      <c r="D4" s="1" t="s">
        <v>28</v>
      </c>
      <c r="E4" s="23">
        <f t="shared" ref="E4:J4" si="0">AVERAGE(E3:K3)</f>
        <v>336.85714285714283</v>
      </c>
      <c r="F4" s="23">
        <f t="shared" si="0"/>
        <v>334.28571428571428</v>
      </c>
      <c r="G4" s="23">
        <f t="shared" si="0"/>
        <v>332.71428571428572</v>
      </c>
      <c r="H4" s="23">
        <f t="shared" si="0"/>
        <v>331</v>
      </c>
      <c r="I4" s="23">
        <f t="shared" si="0"/>
        <v>330.42857142857144</v>
      </c>
      <c r="J4" s="23">
        <f t="shared" si="0"/>
        <v>331.42857142857144</v>
      </c>
      <c r="K4" s="23">
        <f>AVERAGE(K3:P3)</f>
        <v>331</v>
      </c>
      <c r="L4" s="23">
        <f>AVERAGE(L3:P3)</f>
        <v>332.6</v>
      </c>
      <c r="M4" s="23">
        <f>AVERAGE(M3:P3)</f>
        <v>333.75</v>
      </c>
      <c r="N4" s="23">
        <f>AVERAGE(N3:P3)</f>
        <v>336.33333333333331</v>
      </c>
      <c r="O4" s="23">
        <f>AVERAGE(O3:P3)</f>
        <v>340.5</v>
      </c>
      <c r="P4" s="23">
        <f>AVERAGE(P3)</f>
        <v>349</v>
      </c>
      <c r="Q4" s="23">
        <f>AVERAGE(Q3:AB3)</f>
        <v>375.41666666666669</v>
      </c>
      <c r="R4" s="23">
        <f>AVERAGE(R3:AB3)</f>
        <v>376.81818181818181</v>
      </c>
      <c r="S4" s="23">
        <f>AVERAGE(S3:AB3)</f>
        <v>378.5</v>
      </c>
      <c r="T4" s="23">
        <f>AVERAGE(T3:AB3)</f>
        <v>380.22222222222223</v>
      </c>
      <c r="U4" s="23">
        <f>AVERAGE(U3:AB3)</f>
        <v>381.375</v>
      </c>
      <c r="V4" s="23">
        <f>AVERAGE(V3:AB3)</f>
        <v>381.85714285714283</v>
      </c>
      <c r="W4" s="23">
        <f>AVERAGE(W3:AB3)</f>
        <v>383.16666666666669</v>
      </c>
      <c r="X4" s="23">
        <f>AVERAGE(X3:AB3)</f>
        <v>384.8</v>
      </c>
      <c r="Y4" s="23">
        <f>AVERAGE(Y3:AB3)</f>
        <v>387</v>
      </c>
      <c r="Z4" s="23">
        <f>AVERAGE(Z3:AB3)</f>
        <v>388.33333333333331</v>
      </c>
      <c r="AA4" s="23">
        <f>AVERAGE(AA3:AB3)</f>
        <v>389</v>
      </c>
      <c r="AB4" s="23">
        <f>AVERAGE(AB3)</f>
        <v>392</v>
      </c>
      <c r="AC4" s="23">
        <f>AVERAGE(AC3:AN3)</f>
        <v>396.33333333333331</v>
      </c>
      <c r="AD4" s="23">
        <f>AVERAGE(AD3:AN3)</f>
        <v>395.54545454545456</v>
      </c>
      <c r="AE4" s="23">
        <f>AVERAGE(AE3:AN3)</f>
        <v>394.4</v>
      </c>
      <c r="AF4" s="23">
        <f>AVERAGE(AF3:AN3)</f>
        <v>393.88888888888891</v>
      </c>
      <c r="AG4" s="23">
        <f>AVERAGE(AG3:AN3)</f>
        <v>393.625</v>
      </c>
      <c r="AH4" s="23">
        <f>AVERAGE(AH3:AN3)</f>
        <v>393.28571428571428</v>
      </c>
      <c r="AI4" s="23">
        <f>AVERAGE(AI3:AN3)</f>
        <v>392.66666666666669</v>
      </c>
      <c r="AJ4" s="23">
        <f>AVERAGE(AJ3:AN3)</f>
        <v>391.2</v>
      </c>
      <c r="AK4" s="23">
        <f>AVERAGE(AK3:AN3)</f>
        <v>390.25</v>
      </c>
      <c r="AL4" s="23">
        <f>AVERAGE(AL3:AN3)</f>
        <v>391.33333333333331</v>
      </c>
      <c r="AM4" s="23">
        <f>AVERAGE(AM3:AN3)</f>
        <v>394.5</v>
      </c>
      <c r="AN4" s="23">
        <f>AVERAGE(AN3)</f>
        <v>397</v>
      </c>
      <c r="AO4" s="23">
        <f>AVERAGE(AO3:AZ3)</f>
        <v>420.66666666666669</v>
      </c>
      <c r="AP4" s="23">
        <f>AVERAGE(AP3:AZ3)</f>
        <v>420.90909090909093</v>
      </c>
      <c r="AQ4" s="23">
        <f>AVERAGE(AQ3:AZ3)</f>
        <v>421.3</v>
      </c>
      <c r="AR4" s="23">
        <f>AVERAGE(AR3:AZ3)</f>
        <v>421.33333333333331</v>
      </c>
      <c r="AS4" s="23">
        <f>AVERAGE(AS3:AZ3)</f>
        <v>420.75</v>
      </c>
      <c r="AT4" s="23">
        <f>AVERAGE(AT3:AZ3)</f>
        <v>421.28571428571428</v>
      </c>
      <c r="AU4" s="23">
        <f>AVERAGE(AU3:AZ3)</f>
        <v>420.83333333333331</v>
      </c>
      <c r="AV4" s="23">
        <f>AVERAGE(AV3:AZ3)</f>
        <v>420.2</v>
      </c>
      <c r="AW4" s="23">
        <f>AVERAGE(AW3:AZ3)</f>
        <v>420.25</v>
      </c>
      <c r="AX4" s="23">
        <f>AVERAGE(AX3:AZ3)</f>
        <v>420.33333333333331</v>
      </c>
      <c r="AY4" s="23">
        <f>AVERAGE(AY3:AZ3)</f>
        <v>419</v>
      </c>
      <c r="AZ4" s="23">
        <f>AVERAGE(AZ3)</f>
        <v>421</v>
      </c>
      <c r="BA4" s="23">
        <f>AVERAGE(BA3:BK3)</f>
        <v>442.54545454545456</v>
      </c>
      <c r="BB4" s="23">
        <f>AVERAGE(BB3:BK3)</f>
        <v>441.7</v>
      </c>
      <c r="BC4" s="23">
        <f>AVERAGE(BC3:BK3)</f>
        <v>441.22222222222223</v>
      </c>
      <c r="BD4" s="23">
        <f>AVERAGE(BD3:BK3)</f>
        <v>441.25</v>
      </c>
      <c r="BE4" s="23">
        <f>AVERAGE(BE3:BK3)</f>
        <v>441.57142857142856</v>
      </c>
      <c r="BF4" s="23">
        <f>AVERAGE(BF3:BK3)</f>
        <v>443.33333333333331</v>
      </c>
      <c r="BG4" s="23">
        <f>AVERAGE(BG3:BK3)</f>
        <v>444</v>
      </c>
      <c r="BH4" s="23">
        <f>AVERAGE(BH3:BK3)</f>
        <v>443.75</v>
      </c>
      <c r="BI4" s="23">
        <f>AVERAGE(BI3:BK3)</f>
        <v>444.66666666666669</v>
      </c>
      <c r="BJ4" s="23">
        <f>AVERAGE(BJ3:BK3)</f>
        <v>445</v>
      </c>
      <c r="BK4" s="23">
        <f>+BK3</f>
        <v>449</v>
      </c>
      <c r="BL4" s="23">
        <f>AVERAGE(BM3:BW3)</f>
        <v>432.36363636363637</v>
      </c>
      <c r="BM4" s="23">
        <f>AVERAGE(BM3:BW3)</f>
        <v>432.36363636363637</v>
      </c>
      <c r="BN4" s="23">
        <f>AVERAGE(BN3:BW3)</f>
        <v>431.8</v>
      </c>
      <c r="BO4" s="23">
        <f>AVERAGE(BO3:BW3)</f>
        <v>431.22222222222223</v>
      </c>
      <c r="BP4" s="23">
        <f>AVERAGE(BP3:BW3)</f>
        <v>430.75</v>
      </c>
      <c r="BQ4" s="23">
        <f>AVERAGE(BQ3:BW3)</f>
        <v>430.42857142857144</v>
      </c>
      <c r="BR4" s="23">
        <f>AVERAGE(BR3:BW3)</f>
        <v>430.16666666666669</v>
      </c>
      <c r="BS4" s="23">
        <f>AVERAGE(BS3:BW3)</f>
        <v>430.2</v>
      </c>
      <c r="BT4" s="23">
        <f>AVERAGE(BT3:BW3)</f>
        <v>430.75</v>
      </c>
      <c r="BU4" s="23">
        <f t="shared" ref="BU4:BV4" si="1">AVERAGE(BU3:BV3)</f>
        <v>427</v>
      </c>
      <c r="BV4" s="23">
        <f t="shared" si="1"/>
        <v>433.5</v>
      </c>
      <c r="BW4" s="1">
        <f>+BW3</f>
        <v>439</v>
      </c>
    </row>
    <row r="5" spans="1:80" x14ac:dyDescent="0.25">
      <c r="A5" s="1" t="s">
        <v>55</v>
      </c>
      <c r="D5" s="1" t="s">
        <v>30</v>
      </c>
      <c r="E5" s="1">
        <v>363</v>
      </c>
      <c r="F5" s="1">
        <v>363</v>
      </c>
      <c r="G5" s="1">
        <v>363</v>
      </c>
      <c r="H5" s="1">
        <v>363</v>
      </c>
      <c r="I5" s="1">
        <v>363</v>
      </c>
      <c r="J5" s="1">
        <v>363</v>
      </c>
      <c r="K5" s="1">
        <v>363</v>
      </c>
      <c r="L5" s="1">
        <v>363</v>
      </c>
      <c r="M5" s="1">
        <v>363</v>
      </c>
      <c r="N5" s="1">
        <v>363</v>
      </c>
      <c r="O5" s="1">
        <v>363</v>
      </c>
      <c r="P5" s="1">
        <v>363</v>
      </c>
      <c r="Q5" s="1">
        <v>415</v>
      </c>
      <c r="R5" s="1">
        <v>415</v>
      </c>
      <c r="S5" s="1">
        <v>415</v>
      </c>
      <c r="T5" s="1">
        <v>415</v>
      </c>
      <c r="U5" s="1">
        <v>415</v>
      </c>
      <c r="V5" s="1">
        <v>415</v>
      </c>
      <c r="W5" s="1">
        <v>415</v>
      </c>
      <c r="X5" s="1">
        <v>415</v>
      </c>
      <c r="Y5" s="1">
        <v>415</v>
      </c>
      <c r="Z5" s="1">
        <v>415</v>
      </c>
      <c r="AA5" s="1">
        <v>415</v>
      </c>
      <c r="AB5" s="1">
        <v>415</v>
      </c>
      <c r="AC5" s="1">
        <v>415</v>
      </c>
      <c r="AD5" s="1">
        <v>415</v>
      </c>
      <c r="AE5" s="1">
        <v>415</v>
      </c>
      <c r="AF5" s="1">
        <v>415</v>
      </c>
      <c r="AG5" s="1">
        <v>415</v>
      </c>
      <c r="AH5" s="1">
        <v>415</v>
      </c>
      <c r="AI5" s="1">
        <v>415</v>
      </c>
      <c r="AJ5" s="1">
        <v>415</v>
      </c>
      <c r="AK5" s="1">
        <v>415</v>
      </c>
      <c r="AL5" s="1">
        <v>415</v>
      </c>
      <c r="AM5" s="1">
        <v>415</v>
      </c>
      <c r="AN5" s="1">
        <v>415</v>
      </c>
      <c r="AO5" s="1">
        <v>445</v>
      </c>
      <c r="AP5" s="1">
        <v>445</v>
      </c>
      <c r="AQ5" s="1">
        <v>445</v>
      </c>
      <c r="AR5" s="1">
        <v>445</v>
      </c>
      <c r="AS5" s="1">
        <v>445</v>
      </c>
      <c r="AT5" s="1">
        <v>445</v>
      </c>
      <c r="AU5" s="1">
        <v>445</v>
      </c>
      <c r="AV5" s="1">
        <v>445</v>
      </c>
      <c r="AW5" s="1">
        <v>445</v>
      </c>
      <c r="AX5" s="1">
        <v>445</v>
      </c>
      <c r="AY5" s="1">
        <v>445</v>
      </c>
      <c r="AZ5" s="1">
        <v>445</v>
      </c>
      <c r="BA5" s="1">
        <v>461</v>
      </c>
      <c r="BB5" s="1">
        <v>461</v>
      </c>
      <c r="BC5" s="1">
        <v>461</v>
      </c>
      <c r="BD5" s="1">
        <v>461</v>
      </c>
      <c r="BE5" s="1">
        <v>461</v>
      </c>
      <c r="BF5" s="1">
        <v>461</v>
      </c>
      <c r="BG5" s="1">
        <v>461</v>
      </c>
      <c r="BH5" s="1">
        <v>461</v>
      </c>
      <c r="BI5" s="1">
        <v>461</v>
      </c>
      <c r="BJ5" s="1">
        <v>461</v>
      </c>
      <c r="BK5" s="1">
        <v>461</v>
      </c>
      <c r="BL5" s="1">
        <v>460</v>
      </c>
      <c r="BM5" s="1">
        <v>460</v>
      </c>
      <c r="BN5" s="1">
        <v>460</v>
      </c>
      <c r="BO5" s="1">
        <v>460</v>
      </c>
      <c r="BP5" s="1">
        <v>460</v>
      </c>
      <c r="BQ5" s="1">
        <v>460</v>
      </c>
      <c r="BR5" s="1">
        <v>460</v>
      </c>
      <c r="BS5" s="1">
        <v>460</v>
      </c>
      <c r="BT5" s="1">
        <v>460</v>
      </c>
      <c r="BU5" s="1">
        <v>460</v>
      </c>
      <c r="BV5" s="1">
        <v>460</v>
      </c>
      <c r="BW5" s="1">
        <v>460</v>
      </c>
    </row>
    <row r="6" spans="1:80" x14ac:dyDescent="0.25">
      <c r="A6" s="1" t="s">
        <v>31</v>
      </c>
      <c r="D6" s="1" t="s">
        <v>32</v>
      </c>
      <c r="E6" s="23">
        <f t="shared" ref="E6:BW6" si="2">+E4-E5</f>
        <v>-26.142857142857167</v>
      </c>
      <c r="F6" s="23">
        <f t="shared" si="2"/>
        <v>-28.714285714285722</v>
      </c>
      <c r="G6" s="23">
        <f t="shared" si="2"/>
        <v>-30.285714285714278</v>
      </c>
      <c r="H6" s="23">
        <f t="shared" si="2"/>
        <v>-32</v>
      </c>
      <c r="I6" s="23">
        <f t="shared" si="2"/>
        <v>-32.571428571428555</v>
      </c>
      <c r="J6" s="23">
        <f t="shared" si="2"/>
        <v>-31.571428571428555</v>
      </c>
      <c r="K6" s="23">
        <f t="shared" si="2"/>
        <v>-32</v>
      </c>
      <c r="L6" s="23">
        <f t="shared" si="2"/>
        <v>-30.399999999999977</v>
      </c>
      <c r="M6" s="23">
        <f t="shared" si="2"/>
        <v>-29.25</v>
      </c>
      <c r="N6" s="23">
        <f t="shared" si="2"/>
        <v>-26.666666666666686</v>
      </c>
      <c r="O6" s="23">
        <f t="shared" si="2"/>
        <v>-22.5</v>
      </c>
      <c r="P6" s="23">
        <f t="shared" si="2"/>
        <v>-14</v>
      </c>
      <c r="Q6" s="23">
        <f t="shared" si="2"/>
        <v>-39.583333333333314</v>
      </c>
      <c r="R6" s="23">
        <f t="shared" si="2"/>
        <v>-38.181818181818187</v>
      </c>
      <c r="S6" s="23">
        <f t="shared" si="2"/>
        <v>-36.5</v>
      </c>
      <c r="T6" s="23">
        <f t="shared" si="2"/>
        <v>-34.777777777777771</v>
      </c>
      <c r="U6" s="23">
        <f t="shared" si="2"/>
        <v>-33.625</v>
      </c>
      <c r="V6" s="23">
        <f t="shared" si="2"/>
        <v>-33.142857142857167</v>
      </c>
      <c r="W6" s="23">
        <f t="shared" si="2"/>
        <v>-31.833333333333314</v>
      </c>
      <c r="X6" s="23">
        <f t="shared" si="2"/>
        <v>-30.199999999999989</v>
      </c>
      <c r="Y6" s="23">
        <f t="shared" si="2"/>
        <v>-28</v>
      </c>
      <c r="Z6" s="23">
        <f t="shared" si="2"/>
        <v>-26.666666666666686</v>
      </c>
      <c r="AA6" s="23">
        <f t="shared" si="2"/>
        <v>-26</v>
      </c>
      <c r="AB6" s="23">
        <f t="shared" si="2"/>
        <v>-23</v>
      </c>
      <c r="AC6" s="23">
        <f t="shared" si="2"/>
        <v>-18.666666666666686</v>
      </c>
      <c r="AD6" s="23">
        <f t="shared" si="2"/>
        <v>-19.454545454545439</v>
      </c>
      <c r="AE6" s="23">
        <f t="shared" si="2"/>
        <v>-20.600000000000023</v>
      </c>
      <c r="AF6" s="23">
        <f t="shared" si="2"/>
        <v>-21.111111111111086</v>
      </c>
      <c r="AG6" s="23">
        <f t="shared" si="2"/>
        <v>-21.375</v>
      </c>
      <c r="AH6" s="23">
        <f t="shared" si="2"/>
        <v>-21.714285714285722</v>
      </c>
      <c r="AI6" s="23">
        <f t="shared" si="2"/>
        <v>-22.333333333333314</v>
      </c>
      <c r="AJ6" s="23">
        <f t="shared" si="2"/>
        <v>-23.800000000000011</v>
      </c>
      <c r="AK6" s="23">
        <f t="shared" si="2"/>
        <v>-24.75</v>
      </c>
      <c r="AL6" s="23">
        <f t="shared" si="2"/>
        <v>-23.666666666666686</v>
      </c>
      <c r="AM6" s="23">
        <f t="shared" si="2"/>
        <v>-20.5</v>
      </c>
      <c r="AN6" s="23">
        <f t="shared" si="2"/>
        <v>-18</v>
      </c>
      <c r="AO6" s="23">
        <f t="shared" si="2"/>
        <v>-24.333333333333314</v>
      </c>
      <c r="AP6" s="23">
        <f t="shared" si="2"/>
        <v>-24.090909090909065</v>
      </c>
      <c r="AQ6" s="23">
        <f t="shared" si="2"/>
        <v>-23.699999999999989</v>
      </c>
      <c r="AR6" s="23">
        <f t="shared" si="2"/>
        <v>-23.666666666666686</v>
      </c>
      <c r="AS6" s="23">
        <f t="shared" si="2"/>
        <v>-24.25</v>
      </c>
      <c r="AT6" s="23">
        <f t="shared" si="2"/>
        <v>-23.714285714285722</v>
      </c>
      <c r="AU6" s="23">
        <f t="shared" si="2"/>
        <v>-24.166666666666686</v>
      </c>
      <c r="AV6" s="23">
        <f t="shared" si="2"/>
        <v>-24.800000000000011</v>
      </c>
      <c r="AW6" s="23">
        <f t="shared" si="2"/>
        <v>-24.75</v>
      </c>
      <c r="AX6" s="23">
        <f t="shared" si="2"/>
        <v>-24.666666666666686</v>
      </c>
      <c r="AY6" s="23">
        <f t="shared" si="2"/>
        <v>-26</v>
      </c>
      <c r="AZ6" s="23">
        <f t="shared" si="2"/>
        <v>-24</v>
      </c>
      <c r="BA6" s="23">
        <f t="shared" si="2"/>
        <v>-18.454545454545439</v>
      </c>
      <c r="BB6" s="23">
        <f t="shared" si="2"/>
        <v>-19.300000000000011</v>
      </c>
      <c r="BC6" s="23">
        <f t="shared" si="2"/>
        <v>-19.777777777777771</v>
      </c>
      <c r="BD6" s="23">
        <f t="shared" si="2"/>
        <v>-19.75</v>
      </c>
      <c r="BE6" s="23">
        <f t="shared" si="2"/>
        <v>-19.428571428571445</v>
      </c>
      <c r="BF6" s="23">
        <f t="shared" si="2"/>
        <v>-17.666666666666686</v>
      </c>
      <c r="BG6" s="23">
        <f t="shared" si="2"/>
        <v>-17</v>
      </c>
      <c r="BH6" s="23">
        <f t="shared" si="2"/>
        <v>-17.25</v>
      </c>
      <c r="BI6" s="23">
        <f t="shared" si="2"/>
        <v>-16.333333333333314</v>
      </c>
      <c r="BJ6" s="23">
        <f t="shared" si="2"/>
        <v>-16</v>
      </c>
      <c r="BK6" s="23">
        <f t="shared" si="2"/>
        <v>-12</v>
      </c>
      <c r="BL6" s="23">
        <f t="shared" si="2"/>
        <v>-27.636363636363626</v>
      </c>
      <c r="BM6" s="23">
        <f t="shared" si="2"/>
        <v>-27.636363636363626</v>
      </c>
      <c r="BN6" s="23">
        <f t="shared" si="2"/>
        <v>-28.199999999999989</v>
      </c>
      <c r="BO6" s="23">
        <f t="shared" si="2"/>
        <v>-28.777777777777771</v>
      </c>
      <c r="BP6" s="23">
        <f t="shared" si="2"/>
        <v>-29.25</v>
      </c>
      <c r="BQ6" s="23">
        <f t="shared" si="2"/>
        <v>-29.571428571428555</v>
      </c>
      <c r="BR6" s="23">
        <f t="shared" si="2"/>
        <v>-29.833333333333314</v>
      </c>
      <c r="BS6" s="23">
        <f t="shared" si="2"/>
        <v>-29.800000000000011</v>
      </c>
      <c r="BT6" s="23">
        <f t="shared" si="2"/>
        <v>-29.25</v>
      </c>
      <c r="BU6" s="23">
        <f t="shared" si="2"/>
        <v>-33</v>
      </c>
      <c r="BV6" s="23">
        <f t="shared" si="2"/>
        <v>-26.5</v>
      </c>
      <c r="BW6" s="23">
        <f t="shared" si="2"/>
        <v>-21</v>
      </c>
    </row>
    <row r="7" spans="1:80" x14ac:dyDescent="0.25">
      <c r="A7" s="1" t="s">
        <v>56</v>
      </c>
      <c r="D7" s="1" t="s">
        <v>34</v>
      </c>
      <c r="E7" s="24">
        <f t="shared" ref="E7:AB7" si="3">+E6*192</f>
        <v>-5019.4285714285761</v>
      </c>
      <c r="F7" s="24">
        <f t="shared" si="3"/>
        <v>-5513.1428571428587</v>
      </c>
      <c r="G7" s="24">
        <f t="shared" si="3"/>
        <v>-5814.8571428571413</v>
      </c>
      <c r="H7" s="24">
        <f t="shared" si="3"/>
        <v>-6144</v>
      </c>
      <c r="I7" s="24">
        <f t="shared" si="3"/>
        <v>-6253.7142857142826</v>
      </c>
      <c r="J7" s="24">
        <f t="shared" si="3"/>
        <v>-6061.7142857142826</v>
      </c>
      <c r="K7" s="24">
        <f t="shared" si="3"/>
        <v>-6144</v>
      </c>
      <c r="L7" s="24">
        <f t="shared" si="3"/>
        <v>-5836.7999999999956</v>
      </c>
      <c r="M7" s="24">
        <f t="shared" si="3"/>
        <v>-5616</v>
      </c>
      <c r="N7" s="24">
        <f t="shared" si="3"/>
        <v>-5120.0000000000036</v>
      </c>
      <c r="O7" s="24">
        <f t="shared" si="3"/>
        <v>-4320</v>
      </c>
      <c r="P7" s="24">
        <f t="shared" si="3"/>
        <v>-2688</v>
      </c>
      <c r="Q7" s="24">
        <f t="shared" si="3"/>
        <v>-7599.9999999999964</v>
      </c>
      <c r="R7" s="24">
        <f t="shared" si="3"/>
        <v>-7330.9090909090919</v>
      </c>
      <c r="S7" s="24">
        <f t="shared" si="3"/>
        <v>-7008</v>
      </c>
      <c r="T7" s="24">
        <f t="shared" si="3"/>
        <v>-6677.3333333333321</v>
      </c>
      <c r="U7" s="24">
        <f t="shared" si="3"/>
        <v>-6456</v>
      </c>
      <c r="V7" s="24">
        <f t="shared" si="3"/>
        <v>-6363.4285714285761</v>
      </c>
      <c r="W7" s="24">
        <f t="shared" si="3"/>
        <v>-6111.9999999999964</v>
      </c>
      <c r="X7" s="24">
        <f t="shared" si="3"/>
        <v>-5798.3999999999978</v>
      </c>
      <c r="Y7" s="24">
        <f t="shared" si="3"/>
        <v>-5376</v>
      </c>
      <c r="Z7" s="24">
        <f t="shared" si="3"/>
        <v>-5120.0000000000036</v>
      </c>
      <c r="AA7" s="24">
        <f t="shared" si="3"/>
        <v>-4992</v>
      </c>
      <c r="AB7" s="24">
        <f t="shared" si="3"/>
        <v>-4416</v>
      </c>
      <c r="AC7" s="24">
        <f t="shared" ref="AC7:BW7" si="4">+AC6*168</f>
        <v>-3136.0000000000032</v>
      </c>
      <c r="AD7" s="24">
        <f t="shared" si="4"/>
        <v>-3268.3636363636338</v>
      </c>
      <c r="AE7" s="24">
        <f t="shared" si="4"/>
        <v>-3460.8000000000038</v>
      </c>
      <c r="AF7" s="24">
        <f t="shared" si="4"/>
        <v>-3546.6666666666624</v>
      </c>
      <c r="AG7" s="24">
        <f t="shared" si="4"/>
        <v>-3591</v>
      </c>
      <c r="AH7" s="24">
        <f t="shared" si="4"/>
        <v>-3648.0000000000014</v>
      </c>
      <c r="AI7" s="24">
        <f t="shared" si="4"/>
        <v>-3751.9999999999968</v>
      </c>
      <c r="AJ7" s="24">
        <f t="shared" si="4"/>
        <v>-3998.4000000000019</v>
      </c>
      <c r="AK7" s="24">
        <f t="shared" si="4"/>
        <v>-4158</v>
      </c>
      <c r="AL7" s="24">
        <f t="shared" si="4"/>
        <v>-3976.0000000000032</v>
      </c>
      <c r="AM7" s="24">
        <f t="shared" si="4"/>
        <v>-3444</v>
      </c>
      <c r="AN7" s="24">
        <f t="shared" si="4"/>
        <v>-3024</v>
      </c>
      <c r="AO7" s="24">
        <f t="shared" si="4"/>
        <v>-4087.9999999999968</v>
      </c>
      <c r="AP7" s="24">
        <f t="shared" si="4"/>
        <v>-4047.2727272727229</v>
      </c>
      <c r="AQ7" s="24">
        <f t="shared" si="4"/>
        <v>-3981.5999999999981</v>
      </c>
      <c r="AR7" s="24">
        <f t="shared" si="4"/>
        <v>-3976.0000000000032</v>
      </c>
      <c r="AS7" s="24">
        <f t="shared" si="4"/>
        <v>-4074</v>
      </c>
      <c r="AT7" s="24">
        <f t="shared" si="4"/>
        <v>-3984.0000000000014</v>
      </c>
      <c r="AU7" s="24">
        <f t="shared" si="4"/>
        <v>-4060.0000000000032</v>
      </c>
      <c r="AV7" s="24">
        <f t="shared" si="4"/>
        <v>-4166.4000000000015</v>
      </c>
      <c r="AW7" s="24">
        <f t="shared" si="4"/>
        <v>-4158</v>
      </c>
      <c r="AX7" s="24">
        <f t="shared" si="4"/>
        <v>-4144.0000000000036</v>
      </c>
      <c r="AY7" s="24">
        <f t="shared" si="4"/>
        <v>-4368</v>
      </c>
      <c r="AZ7" s="24">
        <f t="shared" si="4"/>
        <v>-4032</v>
      </c>
      <c r="BA7" s="24">
        <f t="shared" si="4"/>
        <v>-3100.3636363636338</v>
      </c>
      <c r="BB7" s="24">
        <f t="shared" si="4"/>
        <v>-3242.4000000000019</v>
      </c>
      <c r="BC7" s="24">
        <f t="shared" si="4"/>
        <v>-3322.6666666666656</v>
      </c>
      <c r="BD7" s="24">
        <f t="shared" si="4"/>
        <v>-3318</v>
      </c>
      <c r="BE7" s="24">
        <f t="shared" si="4"/>
        <v>-3264.0000000000027</v>
      </c>
      <c r="BF7" s="24">
        <f t="shared" si="4"/>
        <v>-2968.0000000000032</v>
      </c>
      <c r="BG7" s="24">
        <f t="shared" si="4"/>
        <v>-2856</v>
      </c>
      <c r="BH7" s="24">
        <f t="shared" si="4"/>
        <v>-2898</v>
      </c>
      <c r="BI7" s="24">
        <f t="shared" si="4"/>
        <v>-2743.9999999999968</v>
      </c>
      <c r="BJ7" s="24">
        <f t="shared" si="4"/>
        <v>-2688</v>
      </c>
      <c r="BK7" s="24">
        <f t="shared" si="4"/>
        <v>-2016</v>
      </c>
      <c r="BL7" s="24">
        <f t="shared" si="4"/>
        <v>-4642.9090909090892</v>
      </c>
      <c r="BM7" s="24">
        <f t="shared" si="4"/>
        <v>-4642.9090909090892</v>
      </c>
      <c r="BN7" s="24">
        <f t="shared" si="4"/>
        <v>-4737.5999999999985</v>
      </c>
      <c r="BO7" s="24">
        <f t="shared" si="4"/>
        <v>-4834.6666666666661</v>
      </c>
      <c r="BP7" s="24">
        <f t="shared" si="4"/>
        <v>-4914</v>
      </c>
      <c r="BQ7" s="24">
        <f t="shared" si="4"/>
        <v>-4967.9999999999973</v>
      </c>
      <c r="BR7" s="24">
        <f t="shared" si="4"/>
        <v>-5011.9999999999964</v>
      </c>
      <c r="BS7" s="24">
        <f t="shared" si="4"/>
        <v>-5006.4000000000015</v>
      </c>
      <c r="BT7" s="24">
        <f t="shared" si="4"/>
        <v>-4914</v>
      </c>
      <c r="BU7" s="24">
        <f t="shared" si="4"/>
        <v>-5544</v>
      </c>
      <c r="BV7" s="24">
        <f t="shared" si="4"/>
        <v>-4452</v>
      </c>
      <c r="BW7" s="24">
        <f t="shared" si="4"/>
        <v>-3528</v>
      </c>
    </row>
    <row r="9" spans="1:80" x14ac:dyDescent="0.25">
      <c r="A9" s="36" t="s">
        <v>35</v>
      </c>
      <c r="D9" s="1" t="s">
        <v>36</v>
      </c>
      <c r="E9" s="25">
        <f>138799.03-64867.67-21912.5-17986</f>
        <v>34032.86</v>
      </c>
      <c r="F9" s="25">
        <f>133534.81-64755.67-21537.5-16564</f>
        <v>30677.64</v>
      </c>
      <c r="G9" s="25">
        <f>126103.4-64323.67-21412.5-11643</f>
        <v>28724.229999999996</v>
      </c>
      <c r="H9" s="25">
        <f>118942.92-63907.67-21262.5-10851</f>
        <v>22921.75</v>
      </c>
      <c r="I9" s="25">
        <f>112645.56-63250.17-21062.5-10851</f>
        <v>17481.89</v>
      </c>
      <c r="J9" s="25">
        <f>105714.78-61650.17-20562.5-10851</f>
        <v>12651.11</v>
      </c>
      <c r="K9" s="25">
        <f>(101207.39-59922.17-20000-10851)</f>
        <v>10434.220000000001</v>
      </c>
      <c r="L9" s="25">
        <f>(96736.21-58194.17-18837.5-10851)</f>
        <v>8853.5400000000081</v>
      </c>
      <c r="M9" s="25">
        <f>(90616.76-55874.17-18237.5 -9511)</f>
        <v>6994.0899999999965</v>
      </c>
      <c r="N9" s="25">
        <f>(85270.86-52956.17-17575-9298)</f>
        <v>5441.6900000000023</v>
      </c>
      <c r="O9" s="25">
        <f>(78275.58-49836.17-16250-8497)</f>
        <v>3692.4100000000035</v>
      </c>
      <c r="P9" s="25">
        <f>(67368.02-45912.67-14975-3559)</f>
        <v>2921.3500000000058</v>
      </c>
      <c r="Q9" s="25">
        <f>(137306.14-67877.92-20200-30214)</f>
        <v>19014.220000000016</v>
      </c>
      <c r="R9" s="25">
        <f>(136448.28-67877.92-20200-30114)</f>
        <v>18256.36</v>
      </c>
      <c r="S9" s="25">
        <f>(134507.89-67669.92-20125-30114)</f>
        <v>16598.970000000016</v>
      </c>
      <c r="T9" s="25">
        <f>(132419.84-67269.92-20000-30114)</f>
        <v>15035.919999999998</v>
      </c>
      <c r="U9" s="25">
        <f>(130087.57-66753.17-19687.5-30114)</f>
        <v>13532.900000000009</v>
      </c>
      <c r="V9" s="25">
        <f>(127052.36-65745.17-19381.63-30114)</f>
        <v>11811.559999999998</v>
      </c>
      <c r="W9" s="25">
        <f>(123915.64-30114-18875-64465.17)</f>
        <v>10461.470000000001</v>
      </c>
      <c r="X9" s="25">
        <f>(119400.68-30114-17675-62689.17)</f>
        <v>8922.5099999999948</v>
      </c>
      <c r="Y9" s="25">
        <f>(115089.98-30114-16637.5-60369.17)</f>
        <v>7969.3099999999977</v>
      </c>
      <c r="Z9" s="25">
        <f>(104401.99-24697-15950-57627.17)</f>
        <v>6127.820000000007</v>
      </c>
      <c r="AA9" s="25">
        <f>(77385.8-5317-14845.47-52892.33)</f>
        <v>4331</v>
      </c>
      <c r="AB9" s="25">
        <f>(62340.33-13675-46824.33)</f>
        <v>1841</v>
      </c>
      <c r="AC9" s="25">
        <f>(154801.49-68573.91-39133-19800)</f>
        <v>27294.579999999987</v>
      </c>
      <c r="AD9" s="25">
        <f>(153315.22-68538.91-39133-19950)</f>
        <v>25693.309999999998</v>
      </c>
      <c r="AE9" s="25">
        <f>(151296.12-68272.91-39133-19762.5)</f>
        <v>24127.709999999992</v>
      </c>
      <c r="AF9" s="25">
        <f>(147112.31-67824.91-39133-19550)</f>
        <v>20604.399999999994</v>
      </c>
      <c r="AG9" s="25">
        <f>(142407.77-39133-66893.91-19387.5)</f>
        <v>16993.359999999986</v>
      </c>
      <c r="AH9" s="25">
        <f>(139856.59-39133-66263.91-19062.5)</f>
        <v>15397.179999999993</v>
      </c>
      <c r="AI9" s="25">
        <f>(136007.43-39133-64842.16-18587.5)</f>
        <v>13444.76999999999</v>
      </c>
      <c r="AJ9" s="25">
        <f>(131771.28-63099-39133-17437.5)</f>
        <v>12101.779999999999</v>
      </c>
      <c r="AK9" s="25">
        <f>(125494.11-39091-60656.16-16737.5)</f>
        <v>9009.4499999999971</v>
      </c>
      <c r="AL9" s="25">
        <f>(111292.57-57086.5-15950-31766)</f>
        <v>6490.070000000007</v>
      </c>
      <c r="AM9" s="25">
        <f>(80242.26-8204-15400-52420.59)</f>
        <v>4217.6699999999983</v>
      </c>
      <c r="AN9" s="25">
        <f>(64009.71-13787.5-47447.59)</f>
        <v>2774.6200000000026</v>
      </c>
      <c r="AO9" s="53">
        <v>31472.04</v>
      </c>
      <c r="AP9" s="53">
        <v>30311.14</v>
      </c>
      <c r="AQ9" s="53">
        <v>28557.37</v>
      </c>
      <c r="AR9" s="53">
        <v>27103.56</v>
      </c>
      <c r="AS9" s="53">
        <v>24629.8</v>
      </c>
      <c r="AT9" s="48">
        <f>152288.03-70003.48-19432.5-39847</f>
        <v>23005.050000000003</v>
      </c>
      <c r="AU9" s="48">
        <f>147875.59-39847-68561.48-18545</f>
        <v>20922.11</v>
      </c>
      <c r="AV9" s="48">
        <f>137852.19-67063.48-17420-36040</f>
        <v>17328.710000000006</v>
      </c>
      <c r="AW9" s="48">
        <f>127375.56-29573-65297.23-17057.5</f>
        <v>15447.829999999994</v>
      </c>
      <c r="AX9" s="48">
        <f>100592.34-62570.56-16307.5-8244</f>
        <v>13470.279999999999</v>
      </c>
      <c r="AY9" s="48">
        <f>80791.57-56664.15-15745</f>
        <v>8382.4200000000055</v>
      </c>
      <c r="AZ9" s="48">
        <f>70654.5-14395-50670.65</f>
        <v>5588.8499999999985</v>
      </c>
      <c r="BA9" s="48">
        <f>186541.69-50742-73758.84-21200</f>
        <v>40840.850000000006</v>
      </c>
      <c r="BB9" s="48">
        <f>179593.44-50742-73555.84-21187.5</f>
        <v>34108.100000000006</v>
      </c>
      <c r="BC9" s="48">
        <f>168214.77-73037.84-21062.5-50742</f>
        <v>23372.429999999993</v>
      </c>
      <c r="BD9" s="48">
        <f>165275.02-50742-72421.84-20762.5</f>
        <v>21348.679999999993</v>
      </c>
      <c r="BE9" s="48">
        <f>161997.84-50677-20625-71189.84</f>
        <v>19506</v>
      </c>
      <c r="BF9" s="48">
        <f>158489.58-50677-69999.84-19787.5</f>
        <v>18025.239999999991</v>
      </c>
      <c r="BG9" s="48">
        <f>152773.52-18587.5-68899.94-49811</f>
        <v>15475.079999999987</v>
      </c>
      <c r="BH9" s="48">
        <f>142850.75-43480-66953.84-18050</f>
        <v>14366.910000000003</v>
      </c>
      <c r="BI9" s="48">
        <f>117858.96-25433-64007.84-17262.5</f>
        <v>11155.62000000001</v>
      </c>
      <c r="BJ9" s="48">
        <f>103380.46-19355-60530.17-16575</f>
        <v>6920.2900000000081</v>
      </c>
      <c r="BK9" s="48">
        <f>91409.49-17515-53484.25-14875</f>
        <v>5535.2400000000052</v>
      </c>
      <c r="CB9" s="1" t="s">
        <v>37</v>
      </c>
    </row>
    <row r="10" spans="1:80" x14ac:dyDescent="0.25">
      <c r="A10" s="36" t="s">
        <v>38</v>
      </c>
      <c r="D10" s="1" t="s">
        <v>39</v>
      </c>
      <c r="E10" s="26">
        <f>(165901-74055-20000-46731)/12*12</f>
        <v>25115</v>
      </c>
      <c r="F10" s="26">
        <f>(165901-74055-20000-46731)/12*11</f>
        <v>23022.083333333332</v>
      </c>
      <c r="G10" s="26">
        <f>(165901-74055-20000-46731)/12*10</f>
        <v>20929.166666666664</v>
      </c>
      <c r="H10" s="26">
        <f>(165901-74055-20000-46731)/12*9</f>
        <v>18836.25</v>
      </c>
      <c r="I10" s="26">
        <f>(165901-74055-20000-46731)/12*8</f>
        <v>16743.333333333332</v>
      </c>
      <c r="J10" s="26">
        <f>(165901-74055-20000-46731)/12*7</f>
        <v>14650.416666666666</v>
      </c>
      <c r="K10" s="26">
        <f>(165901-74055-20000-46731)/12*6</f>
        <v>12557.5</v>
      </c>
      <c r="L10" s="26">
        <f>(165901-74055-20000-46731)/12*5</f>
        <v>10464.583333333332</v>
      </c>
      <c r="M10" s="26">
        <f>(165901-74055-20000-46731)/12*4</f>
        <v>8371.6666666666661</v>
      </c>
      <c r="N10" s="26">
        <f>(165901-74055-20000-46731)/12*3</f>
        <v>6278.75</v>
      </c>
      <c r="O10" s="26">
        <f>(165901-74055-20000-46731)/12*2</f>
        <v>4185.833333333333</v>
      </c>
      <c r="P10" s="26">
        <f>(165901-74055-20000-46731)/12*1</f>
        <v>2092.9166666666665</v>
      </c>
      <c r="Q10" s="26">
        <f>(173742-84165-20000-44486)/12*12</f>
        <v>25091</v>
      </c>
      <c r="R10" s="26">
        <f>(173742-84165-20000-44486)/12*11</f>
        <v>23000.083333333332</v>
      </c>
      <c r="S10" s="26">
        <f>(173742-84165-20000-44486)/12*10</f>
        <v>20909.166666666664</v>
      </c>
      <c r="T10" s="26">
        <f>(173742-84165-20000-44486)/12*9</f>
        <v>18818.25</v>
      </c>
      <c r="U10" s="26">
        <f>(173742-84165-20000-44486)/12*8</f>
        <v>16727.333333333332</v>
      </c>
      <c r="V10" s="26">
        <f>(173742-84165-20000-44486)/12*7</f>
        <v>14636.416666666666</v>
      </c>
      <c r="W10" s="26">
        <f>(173742-84165-20000-44486)/12*6</f>
        <v>12545.5</v>
      </c>
      <c r="X10" s="26">
        <f>(173742-84165-20000-44486)/12*5</f>
        <v>10454.583333333332</v>
      </c>
      <c r="Y10" s="26">
        <f>(173742-84165-20000-44486)/12*4</f>
        <v>8363.6666666666661</v>
      </c>
      <c r="Z10" s="26">
        <f>(173742-84165-20000-44486)/12*3</f>
        <v>6272.75</v>
      </c>
      <c r="AA10" s="26">
        <f>(173742-84165-20000-44486)/12*2</f>
        <v>4181.833333333333</v>
      </c>
      <c r="AB10" s="26">
        <f>(173742-84165-20000-44486)/12*1</f>
        <v>2090.9166666666665</v>
      </c>
      <c r="AC10" s="26">
        <f>(161708-73902-42162-20000)/12*12</f>
        <v>25644</v>
      </c>
      <c r="AD10" s="26">
        <f>(161708-73902-42162-20000)/12*11</f>
        <v>23507</v>
      </c>
      <c r="AE10" s="26">
        <f>(161708-73902-42162-20000)/12*10</f>
        <v>21370</v>
      </c>
      <c r="AF10" s="26">
        <f>(161708-73902-42162-20000)/12*9</f>
        <v>19233</v>
      </c>
      <c r="AG10" s="26">
        <f>(161708-73902-42162-20000)/12*8</f>
        <v>17096</v>
      </c>
      <c r="AH10" s="26">
        <f>(161708-73902-42162-20000)/12*7</f>
        <v>14959</v>
      </c>
      <c r="AI10" s="26">
        <f>(161708-73902-42162-20000)/12*6</f>
        <v>12822</v>
      </c>
      <c r="AJ10" s="26">
        <f>(161708-73902-42162-20000)/12*5</f>
        <v>10685</v>
      </c>
      <c r="AK10" s="26">
        <f>(161708-73902-42162-20000)/12*4</f>
        <v>8548</v>
      </c>
      <c r="AL10" s="26">
        <f>(161708-73902-42162-20000)/12*3</f>
        <v>6411</v>
      </c>
      <c r="AM10" s="26">
        <f>(161708-73902-42162-20000)/12*2</f>
        <v>4274</v>
      </c>
      <c r="AN10" s="26">
        <f>(161708-73902-42162-20000)/12*1</f>
        <v>2137</v>
      </c>
      <c r="AO10" s="53">
        <f>(174743-45101-78942-20000)/12*12</f>
        <v>30700</v>
      </c>
      <c r="AP10" s="53">
        <f>(174743-45101-78942-20000)/12*11</f>
        <v>28141.666666666668</v>
      </c>
      <c r="AQ10" s="53">
        <f>(174743-45101-78942-20000)/12*10</f>
        <v>25583.333333333336</v>
      </c>
      <c r="AR10" s="53">
        <f>(174743-45101-78942-20000)/12*9</f>
        <v>23025</v>
      </c>
      <c r="AS10" s="53">
        <f>(174743-45101-78942-20000)/12*8</f>
        <v>20466.666666666668</v>
      </c>
      <c r="AT10" s="48">
        <f>(174743-45101-78942-20000)/12*7</f>
        <v>17908.333333333336</v>
      </c>
      <c r="AU10" s="48">
        <f>(174743-45101-78942-20000)/12*6</f>
        <v>15350</v>
      </c>
      <c r="AV10" s="48">
        <f>(174743-45101-78942-20000)/12*5</f>
        <v>12791.666666666668</v>
      </c>
      <c r="AW10" s="48">
        <f>(174743-45101-78942-20000)/12*4</f>
        <v>10233.333333333334</v>
      </c>
      <c r="AX10" s="48">
        <f>(174743-45101-78942-20000)/12*3</f>
        <v>7675</v>
      </c>
      <c r="AY10" s="48">
        <f>(174743-45101-78942-20000)/12*2</f>
        <v>5116.666666666667</v>
      </c>
      <c r="AZ10" s="48">
        <f>(174743-45101-78942-20000)/12</f>
        <v>2558.3333333333335</v>
      </c>
      <c r="BA10" s="48">
        <f>(58217-18000)/12*11</f>
        <v>36865.583333333328</v>
      </c>
      <c r="BB10" s="48">
        <f>(58217-18000)/12*10</f>
        <v>33514.166666666664</v>
      </c>
      <c r="BC10" s="48">
        <f>(58217-18000)/12*9</f>
        <v>30162.75</v>
      </c>
      <c r="BD10" s="48">
        <f>(58217-18000)/12*8</f>
        <v>26811.333333333332</v>
      </c>
      <c r="BE10" s="48">
        <f>(58217-18000)/12*7</f>
        <v>23459.916666666664</v>
      </c>
      <c r="BF10" s="48">
        <f>(58217-18000)/12*6</f>
        <v>20108.5</v>
      </c>
      <c r="BG10" s="48">
        <f>(58217-18000)/12*5</f>
        <v>16757.083333333332</v>
      </c>
      <c r="BH10" s="48">
        <f>(58217-18000)/12*4</f>
        <v>13405.666666666666</v>
      </c>
      <c r="BI10" s="48">
        <f>(58217-18000)/12*3</f>
        <v>10054.25</v>
      </c>
      <c r="BJ10" s="48">
        <f>(58217-18000)/12*2</f>
        <v>6702.833333333333</v>
      </c>
      <c r="BK10" s="48">
        <f>(58217-18000)/12</f>
        <v>3351.4166666666665</v>
      </c>
    </row>
    <row r="11" spans="1:80" x14ac:dyDescent="0.25">
      <c r="D11" s="1" t="s">
        <v>40</v>
      </c>
      <c r="E11" s="24">
        <f t="shared" ref="E11:BK11" si="5">+E9-E10</f>
        <v>8917.86</v>
      </c>
      <c r="F11" s="24">
        <f t="shared" si="5"/>
        <v>7655.5566666666673</v>
      </c>
      <c r="G11" s="24">
        <f t="shared" si="5"/>
        <v>7795.0633333333317</v>
      </c>
      <c r="H11" s="24">
        <f t="shared" si="5"/>
        <v>4085.5</v>
      </c>
      <c r="I11" s="24">
        <f t="shared" si="5"/>
        <v>738.5566666666673</v>
      </c>
      <c r="J11" s="24">
        <f t="shared" si="5"/>
        <v>-1999.3066666666655</v>
      </c>
      <c r="K11" s="24">
        <f t="shared" si="5"/>
        <v>-2123.2799999999988</v>
      </c>
      <c r="L11" s="24">
        <f t="shared" si="5"/>
        <v>-1611.043333333324</v>
      </c>
      <c r="M11" s="24">
        <f t="shared" si="5"/>
        <v>-1377.5766666666696</v>
      </c>
      <c r="N11" s="24">
        <f t="shared" si="5"/>
        <v>-837.05999999999767</v>
      </c>
      <c r="O11" s="24">
        <f t="shared" si="5"/>
        <v>-493.42333333332954</v>
      </c>
      <c r="P11" s="24">
        <f t="shared" si="5"/>
        <v>828.43333333333931</v>
      </c>
      <c r="Q11" s="24">
        <f t="shared" si="5"/>
        <v>-6076.7799999999843</v>
      </c>
      <c r="R11" s="24">
        <f t="shared" si="5"/>
        <v>-4743.7233333333315</v>
      </c>
      <c r="S11" s="24">
        <f t="shared" si="5"/>
        <v>-4310.1966666666485</v>
      </c>
      <c r="T11" s="24">
        <f t="shared" si="5"/>
        <v>-3782.3300000000017</v>
      </c>
      <c r="U11" s="24">
        <f t="shared" si="5"/>
        <v>-3194.4333333333234</v>
      </c>
      <c r="V11" s="24">
        <f t="shared" si="5"/>
        <v>-2824.8566666666684</v>
      </c>
      <c r="W11" s="24">
        <f t="shared" si="5"/>
        <v>-2084.0299999999988</v>
      </c>
      <c r="X11" s="24">
        <f t="shared" si="5"/>
        <v>-1532.0733333333374</v>
      </c>
      <c r="Y11" s="24">
        <f t="shared" si="5"/>
        <v>-394.35666666666839</v>
      </c>
      <c r="Z11" s="24">
        <f t="shared" si="5"/>
        <v>-144.92999999999302</v>
      </c>
      <c r="AA11" s="24">
        <f t="shared" si="5"/>
        <v>149.16666666666697</v>
      </c>
      <c r="AB11" s="24">
        <f t="shared" si="5"/>
        <v>-249.91666666666652</v>
      </c>
      <c r="AC11" s="24">
        <f t="shared" si="5"/>
        <v>1650.5799999999872</v>
      </c>
      <c r="AD11" s="24">
        <f t="shared" si="5"/>
        <v>2186.3099999999977</v>
      </c>
      <c r="AE11" s="24">
        <f t="shared" si="5"/>
        <v>2757.7099999999919</v>
      </c>
      <c r="AF11" s="24">
        <f t="shared" si="5"/>
        <v>1371.3999999999942</v>
      </c>
      <c r="AG11" s="24">
        <f t="shared" si="5"/>
        <v>-102.64000000001397</v>
      </c>
      <c r="AH11" s="24">
        <f t="shared" si="5"/>
        <v>438.17999999999302</v>
      </c>
      <c r="AI11" s="24">
        <f t="shared" si="5"/>
        <v>622.76999999998952</v>
      </c>
      <c r="AJ11" s="24">
        <f t="shared" si="5"/>
        <v>1416.7799999999988</v>
      </c>
      <c r="AK11" s="24">
        <f t="shared" si="5"/>
        <v>461.44999999999709</v>
      </c>
      <c r="AL11" s="24">
        <f t="shared" si="5"/>
        <v>79.070000000006985</v>
      </c>
      <c r="AM11" s="24">
        <f t="shared" si="5"/>
        <v>-56.330000000001746</v>
      </c>
      <c r="AN11" s="24">
        <f t="shared" si="5"/>
        <v>637.62000000000262</v>
      </c>
      <c r="AO11" s="24">
        <f t="shared" si="5"/>
        <v>772.04000000000087</v>
      </c>
      <c r="AP11" s="24">
        <f t="shared" si="5"/>
        <v>2169.4733333333315</v>
      </c>
      <c r="AQ11" s="24">
        <f t="shared" si="5"/>
        <v>2974.0366666666632</v>
      </c>
      <c r="AR11" s="24">
        <f t="shared" si="5"/>
        <v>4078.5600000000013</v>
      </c>
      <c r="AS11" s="24">
        <f t="shared" si="5"/>
        <v>4163.1333333333314</v>
      </c>
      <c r="AT11" s="24">
        <f t="shared" si="5"/>
        <v>5096.7166666666672</v>
      </c>
      <c r="AU11" s="24">
        <f t="shared" si="5"/>
        <v>5572.1100000000006</v>
      </c>
      <c r="AV11" s="24">
        <f t="shared" si="5"/>
        <v>4537.0433333333385</v>
      </c>
      <c r="AW11" s="24">
        <f t="shared" si="5"/>
        <v>5214.4966666666605</v>
      </c>
      <c r="AX11" s="24">
        <f t="shared" si="5"/>
        <v>5795.2799999999988</v>
      </c>
      <c r="AY11" s="24">
        <f t="shared" si="5"/>
        <v>3265.7533333333386</v>
      </c>
      <c r="AZ11" s="24">
        <f t="shared" si="5"/>
        <v>3030.5166666666651</v>
      </c>
      <c r="BA11" s="24">
        <f t="shared" si="5"/>
        <v>3975.2666666666773</v>
      </c>
      <c r="BB11" s="24">
        <f t="shared" si="5"/>
        <v>593.93333333334158</v>
      </c>
      <c r="BC11" s="24">
        <f t="shared" si="5"/>
        <v>-6790.320000000007</v>
      </c>
      <c r="BD11" s="24">
        <f t="shared" si="5"/>
        <v>-5462.6533333333391</v>
      </c>
      <c r="BE11" s="24">
        <f t="shared" si="5"/>
        <v>-3953.9166666666642</v>
      </c>
      <c r="BF11" s="24">
        <f t="shared" si="5"/>
        <v>-2083.2600000000093</v>
      </c>
      <c r="BG11" s="24">
        <f t="shared" si="5"/>
        <v>-1282.0033333333449</v>
      </c>
      <c r="BH11" s="24">
        <f t="shared" si="5"/>
        <v>961.24333333333743</v>
      </c>
      <c r="BI11" s="24">
        <f t="shared" si="5"/>
        <v>1101.3700000000099</v>
      </c>
      <c r="BJ11" s="24">
        <f t="shared" si="5"/>
        <v>217.45666666667512</v>
      </c>
      <c r="BK11" s="24">
        <f t="shared" si="5"/>
        <v>2183.8233333333387</v>
      </c>
    </row>
    <row r="12" spans="1:80" x14ac:dyDescent="0.25"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</row>
    <row r="13" spans="1:80" x14ac:dyDescent="0.25">
      <c r="A13" s="36" t="s">
        <v>41</v>
      </c>
      <c r="D13" s="1" t="s">
        <v>42</v>
      </c>
      <c r="E13" s="26">
        <f>123238.69-1297.46</f>
        <v>121941.23</v>
      </c>
      <c r="F13" s="26">
        <f>111121.5-978.17</f>
        <v>110143.33</v>
      </c>
      <c r="G13" s="26">
        <f>100976.77-959.48</f>
        <v>100017.29000000001</v>
      </c>
      <c r="H13" s="26">
        <f>90910.31-936.27</f>
        <v>89974.04</v>
      </c>
      <c r="I13" s="26">
        <f>78947.58-936.27</f>
        <v>78011.31</v>
      </c>
      <c r="J13" s="26">
        <f>70294.56-936.27</f>
        <v>69358.289999999994</v>
      </c>
      <c r="K13" s="26">
        <f>(58593.37-936.27)</f>
        <v>57657.100000000006</v>
      </c>
      <c r="L13" s="26">
        <f>(48997.75-873.18)</f>
        <v>48124.57</v>
      </c>
      <c r="M13" s="26">
        <f>(40021.33-869.18)</f>
        <v>39152.15</v>
      </c>
      <c r="N13" s="26">
        <f>(30611.09-697.96)</f>
        <v>29913.13</v>
      </c>
      <c r="O13" s="26">
        <f>(20217.68-697.96)</f>
        <v>19519.72</v>
      </c>
      <c r="P13" s="26">
        <f>(11012.82-697.96)</f>
        <v>10314.86</v>
      </c>
      <c r="Q13" s="26">
        <f>(150305.91-28054.87)</f>
        <v>122251.04000000001</v>
      </c>
      <c r="R13" s="26">
        <f>(138221.17-28054.87)</f>
        <v>110166.30000000002</v>
      </c>
      <c r="S13" s="26">
        <f>(128034.77-28054.87)</f>
        <v>99979.900000000009</v>
      </c>
      <c r="T13" s="26">
        <f>(118919.15-28054.87)</f>
        <v>90864.28</v>
      </c>
      <c r="U13" s="26">
        <f>(108842.82-28054.87)</f>
        <v>80787.950000000012</v>
      </c>
      <c r="V13" s="26">
        <f>(99979.98-28054.87)</f>
        <v>71925.11</v>
      </c>
      <c r="W13" s="26">
        <f>(86616.98-28054.87)</f>
        <v>58562.11</v>
      </c>
      <c r="X13" s="26">
        <f>(77238.59-27981.04)</f>
        <v>49257.549999999996</v>
      </c>
      <c r="Y13" s="26">
        <f>(51279.97-11709.7)</f>
        <v>39570.270000000004</v>
      </c>
      <c r="Z13" s="26">
        <f>(30585.44-1135.78)</f>
        <v>29449.66</v>
      </c>
      <c r="AA13" s="26">
        <f>(21028.39-150)</f>
        <v>20878.39</v>
      </c>
      <c r="AB13" s="26">
        <v>11098.15</v>
      </c>
      <c r="AC13" s="26">
        <f>(135067.49-23755.84)</f>
        <v>111311.65</v>
      </c>
      <c r="AD13" s="26">
        <f>(125182.71-23755.84)</f>
        <v>101426.87000000001</v>
      </c>
      <c r="AE13" s="26">
        <f>(116596.59-23755.84)</f>
        <v>92840.75</v>
      </c>
      <c r="AF13" s="26">
        <f>(106649.09-23755.84)</f>
        <v>82893.25</v>
      </c>
      <c r="AG13" s="26">
        <f>(96846.84-23755.84)</f>
        <v>73091</v>
      </c>
      <c r="AH13" s="26">
        <f>(88425.34-23755.84)</f>
        <v>64669.5</v>
      </c>
      <c r="AI13" s="26">
        <f>(77233.86-23755.84)</f>
        <v>53478.020000000004</v>
      </c>
      <c r="AJ13" s="26">
        <f>(53834.91-8057.02)</f>
        <v>45777.89</v>
      </c>
      <c r="AK13" s="26">
        <f>(44391.49-7344.94)</f>
        <v>37046.549999999996</v>
      </c>
      <c r="AL13" s="26">
        <f>(27338.65-1526.32)</f>
        <v>25812.33</v>
      </c>
      <c r="AM13" s="26">
        <f>(19258.71-1288.57)</f>
        <v>17970.14</v>
      </c>
      <c r="AN13" s="26">
        <f>(10649.99-506.65)</f>
        <v>10143.34</v>
      </c>
      <c r="AO13" s="48">
        <v>115540.4</v>
      </c>
      <c r="AP13" s="48">
        <v>104659.05</v>
      </c>
      <c r="AQ13" s="48">
        <v>95877.11</v>
      </c>
      <c r="AR13" s="48">
        <v>86530.68</v>
      </c>
      <c r="AS13" s="48">
        <v>78335.34</v>
      </c>
      <c r="AT13" s="48">
        <f>98543.87-28573.11</f>
        <v>69970.759999999995</v>
      </c>
      <c r="AU13" s="48">
        <f>68115.97-9005.62</f>
        <v>59110.35</v>
      </c>
      <c r="AV13" s="48">
        <f>51337.23-2013.16</f>
        <v>49324.07</v>
      </c>
      <c r="AW13" s="48">
        <f>41173.06-1105.92</f>
        <v>40067.14</v>
      </c>
      <c r="AX13" s="48">
        <f>31849.6-797.94</f>
        <v>31051.66</v>
      </c>
      <c r="AY13" s="48">
        <f>21770.23-197.94</f>
        <v>21572.29</v>
      </c>
      <c r="AZ13" s="48">
        <f>13700.23-197.94</f>
        <v>13502.289999999999</v>
      </c>
      <c r="BA13" s="48">
        <f>141771.38-37905.51</f>
        <v>103865.87</v>
      </c>
      <c r="BB13" s="48">
        <f>131940.21-37617.8</f>
        <v>94322.409999999989</v>
      </c>
      <c r="BC13" s="48">
        <f>123167.82-36987</f>
        <v>86180.82</v>
      </c>
      <c r="BD13" s="48">
        <f>115581.16-36987</f>
        <v>78594.16</v>
      </c>
      <c r="BE13" s="48">
        <f>100991.76-36987</f>
        <v>64004.759999999995</v>
      </c>
      <c r="BF13" s="48">
        <f>89873.8-35301.79</f>
        <v>54572.01</v>
      </c>
      <c r="BG13" s="48">
        <f>57686.79-10566.83</f>
        <v>47119.96</v>
      </c>
      <c r="BH13" s="48">
        <f>46573.23-7698.84</f>
        <v>38874.39</v>
      </c>
      <c r="BI13" s="48">
        <f>35702.89-6835.98</f>
        <v>28866.91</v>
      </c>
      <c r="BJ13" s="48">
        <f>15509.91-392.48</f>
        <v>15117.43</v>
      </c>
      <c r="BK13" s="48">
        <f>9727.03-198.3</f>
        <v>9528.7300000000014</v>
      </c>
      <c r="BL13" s="48">
        <f>165283.61-55089.91</f>
        <v>110193.69999999998</v>
      </c>
      <c r="BM13" s="48">
        <f>154985.88-55089.91</f>
        <v>99895.97</v>
      </c>
      <c r="BN13" s="48">
        <f>147908.73-55089.91</f>
        <v>92818.82</v>
      </c>
      <c r="BO13" s="48">
        <f>137385.94-53318.11</f>
        <v>84067.83</v>
      </c>
      <c r="BP13" s="48">
        <f>129017.7-53318.11</f>
        <v>75699.59</v>
      </c>
      <c r="BQ13" s="48">
        <f>120422.8-53318.11</f>
        <v>67104.69</v>
      </c>
      <c r="BR13" s="48">
        <f>110494.93-53318.11</f>
        <v>57176.819999999992</v>
      </c>
      <c r="BS13" s="48">
        <f>102406.75-52731.61</f>
        <v>49675.14</v>
      </c>
      <c r="BT13" s="48">
        <f>56305.75-17474.25</f>
        <v>38831.5</v>
      </c>
      <c r="BU13" s="48">
        <f>29627.71-1697.38</f>
        <v>27930.329999999998</v>
      </c>
      <c r="BV13" s="48">
        <f>19782.49-632.98</f>
        <v>19149.510000000002</v>
      </c>
      <c r="BW13" s="48">
        <f>9721.86-132.98</f>
        <v>9588.880000000001</v>
      </c>
    </row>
    <row r="14" spans="1:80" x14ac:dyDescent="0.25">
      <c r="A14" s="36" t="s">
        <v>38</v>
      </c>
      <c r="D14" s="1" t="s">
        <v>43</v>
      </c>
      <c r="E14" s="26">
        <f>+(165347-31090)/12*12</f>
        <v>134257</v>
      </c>
      <c r="F14" s="26">
        <f>+(165347-31090)/12*11</f>
        <v>123068.91666666667</v>
      </c>
      <c r="G14" s="26">
        <f>+(165347-31090)/12*10</f>
        <v>111880.83333333334</v>
      </c>
      <c r="H14" s="26">
        <f>+(165347-31090)/12*9</f>
        <v>100692.75</v>
      </c>
      <c r="I14" s="26">
        <f>+(165347-31090)/12*8</f>
        <v>89504.666666666672</v>
      </c>
      <c r="J14" s="26">
        <f>+(165347-31090)/12*7</f>
        <v>78316.583333333343</v>
      </c>
      <c r="K14" s="26">
        <f>+(165347-31090)/12*6</f>
        <v>67128.5</v>
      </c>
      <c r="L14" s="26">
        <f>+(165347-31090)/12*5</f>
        <v>55940.416666666672</v>
      </c>
      <c r="M14" s="26">
        <f>+(165347-31090)/12*4</f>
        <v>44752.333333333336</v>
      </c>
      <c r="N14" s="26">
        <f>+(165347-31090)/12*3</f>
        <v>33564.25</v>
      </c>
      <c r="O14" s="26">
        <f>+(165347-31090)/12*2</f>
        <v>22376.166666666668</v>
      </c>
      <c r="P14" s="26">
        <f>+(165347-31090)/12*1</f>
        <v>11188.083333333334</v>
      </c>
      <c r="Q14" s="26">
        <f>+(173675-38900)/12*12</f>
        <v>134775</v>
      </c>
      <c r="R14" s="26">
        <f>+(173675-38900)/12*11</f>
        <v>123543.75</v>
      </c>
      <c r="S14" s="26">
        <f>+(173675-38900)/12*10</f>
        <v>112312.5</v>
      </c>
      <c r="T14" s="26">
        <f>+(173675-38900)/12*9</f>
        <v>101081.25</v>
      </c>
      <c r="U14" s="26">
        <f>+(173675-38900)/12*8</f>
        <v>89850</v>
      </c>
      <c r="V14" s="26">
        <f>+(173675-38900)/12*7</f>
        <v>78618.75</v>
      </c>
      <c r="W14" s="26">
        <f>+(173675-38900)/12*6</f>
        <v>67387.5</v>
      </c>
      <c r="X14" s="26">
        <f>+(173675-38900)/12*5</f>
        <v>56156.25</v>
      </c>
      <c r="Y14" s="26">
        <f>+(173675-38900)/12*4</f>
        <v>44925</v>
      </c>
      <c r="Z14" s="26">
        <f>+(173675-38900)/12*3</f>
        <v>33693.75</v>
      </c>
      <c r="AA14" s="26">
        <f>+(173675-38900)/12*2</f>
        <v>22462.5</v>
      </c>
      <c r="AB14" s="26">
        <f>+(173675-38900)/12*1</f>
        <v>11231.25</v>
      </c>
      <c r="AC14" s="26">
        <f>+(158897-34415)/12*12</f>
        <v>124482</v>
      </c>
      <c r="AD14" s="26">
        <f>+(158897-34415)/12*11</f>
        <v>114108.5</v>
      </c>
      <c r="AE14" s="26">
        <f>+(158897-34415)/12*10</f>
        <v>103735</v>
      </c>
      <c r="AF14" s="26">
        <f>+(158897-34415)/12*9</f>
        <v>93361.5</v>
      </c>
      <c r="AG14" s="26">
        <f>+(158897-34415)/12*8</f>
        <v>82988</v>
      </c>
      <c r="AH14" s="26">
        <f>+(158897-34415)/12*7</f>
        <v>72614.5</v>
      </c>
      <c r="AI14" s="26">
        <f>+(158897-34415)/12*6</f>
        <v>62241</v>
      </c>
      <c r="AJ14" s="26">
        <f>+(158897-34415)/12*5</f>
        <v>51867.5</v>
      </c>
      <c r="AK14" s="26">
        <f>+(158897-34415)/12*4</f>
        <v>41494</v>
      </c>
      <c r="AL14" s="26">
        <f>+(158897-34415)/12*3</f>
        <v>31120.5</v>
      </c>
      <c r="AM14" s="26">
        <f>+(158897-34415)/12*2</f>
        <v>20747</v>
      </c>
      <c r="AN14" s="26">
        <f>+(158897-34415)/12</f>
        <v>10373.5</v>
      </c>
      <c r="AO14" s="48">
        <f>+(169577-41565)/12*12</f>
        <v>128012</v>
      </c>
      <c r="AP14" s="48">
        <f>+(169577-41565)/12*11</f>
        <v>117344.33333333333</v>
      </c>
      <c r="AQ14" s="48">
        <f>+(169577-41565)/12*10</f>
        <v>106676.66666666666</v>
      </c>
      <c r="AR14" s="48">
        <f>+(169577-41565)/12*9</f>
        <v>96009</v>
      </c>
      <c r="AS14" s="48">
        <f>+(169577-41565)/12*8</f>
        <v>85341.333333333328</v>
      </c>
      <c r="AT14" s="48">
        <f>+(169577-41565)/12*7</f>
        <v>74673.666666666657</v>
      </c>
      <c r="AU14" s="48">
        <f>+(169577-41565)/12*6</f>
        <v>64006</v>
      </c>
      <c r="AV14" s="48">
        <f>+(169577-41565)/12*5</f>
        <v>53338.333333333328</v>
      </c>
      <c r="AW14" s="48">
        <f>+(169577-41565)/12*4</f>
        <v>42670.666666666664</v>
      </c>
      <c r="AX14" s="48">
        <f>+(169577-41565)/12*3</f>
        <v>32003</v>
      </c>
      <c r="AY14" s="48">
        <f>+(169577-41565)/12*2</f>
        <v>21335.333333333332</v>
      </c>
      <c r="AZ14" s="48">
        <f>+(169577-41565)/12</f>
        <v>10667.666666666666</v>
      </c>
      <c r="BA14" s="48">
        <f>+(171526-40275)/12*11</f>
        <v>120313.41666666667</v>
      </c>
      <c r="BB14" s="48">
        <f>+(171526-40275)/12*10</f>
        <v>109375.83333333334</v>
      </c>
      <c r="BC14" s="48">
        <f>+(171526-40275)/12*9</f>
        <v>98438.25</v>
      </c>
      <c r="BD14" s="48">
        <f>+(171526-40275)/12*8</f>
        <v>87500.666666666672</v>
      </c>
      <c r="BE14" s="48">
        <f>+(171526-40275)/12*7</f>
        <v>76563.083333333343</v>
      </c>
      <c r="BF14" s="48">
        <f>+(171526-40275)/12*6</f>
        <v>65625.5</v>
      </c>
      <c r="BG14" s="48">
        <f>+(171526-40275)/12*5</f>
        <v>54687.916666666672</v>
      </c>
      <c r="BH14" s="48">
        <f>+(171526-40275)/12*4</f>
        <v>43750.333333333336</v>
      </c>
      <c r="BI14" s="48">
        <f>+(171526-40275)/12*3</f>
        <v>32812.75</v>
      </c>
      <c r="BJ14" s="48">
        <f>+(171526-40275)/12*2</f>
        <v>21875.166666666668</v>
      </c>
      <c r="BK14" s="48">
        <f>+(171526-40275)/12</f>
        <v>10937.583333333334</v>
      </c>
      <c r="BL14" s="48">
        <f>131660/12*12</f>
        <v>131660</v>
      </c>
      <c r="BM14" s="48">
        <f>131660/12*11</f>
        <v>120688.33333333333</v>
      </c>
      <c r="BN14" s="48">
        <f>131660/12*10</f>
        <v>109716.66666666666</v>
      </c>
      <c r="BO14" s="48">
        <f>131660/12*9</f>
        <v>98745</v>
      </c>
      <c r="BP14" s="48">
        <f>131660/12*8</f>
        <v>87773.333333333328</v>
      </c>
      <c r="BQ14" s="48">
        <f>131660/12*7</f>
        <v>76801.666666666657</v>
      </c>
      <c r="BR14" s="48">
        <f>131660/12*6</f>
        <v>65830</v>
      </c>
      <c r="BS14" s="48">
        <f>131660/12*5</f>
        <v>54858.333333333328</v>
      </c>
      <c r="BT14" s="48">
        <f>131660/12*4</f>
        <v>43886.666666666664</v>
      </c>
      <c r="BU14" s="48">
        <f>131660/12*3</f>
        <v>32915</v>
      </c>
      <c r="BV14" s="48">
        <f>131660/12*2</f>
        <v>21943.333333333332</v>
      </c>
      <c r="BW14" s="48">
        <f>131660/12</f>
        <v>10971.666666666666</v>
      </c>
    </row>
    <row r="15" spans="1:80" x14ac:dyDescent="0.25">
      <c r="D15" s="1" t="s">
        <v>44</v>
      </c>
      <c r="E15" s="24">
        <f t="shared" ref="E15:BW15" si="6">+E14-E13</f>
        <v>12315.770000000004</v>
      </c>
      <c r="F15" s="24">
        <f t="shared" si="6"/>
        <v>12925.58666666667</v>
      </c>
      <c r="G15" s="24">
        <f t="shared" si="6"/>
        <v>11863.543333333335</v>
      </c>
      <c r="H15" s="24">
        <f t="shared" si="6"/>
        <v>10718.710000000006</v>
      </c>
      <c r="I15" s="24">
        <f t="shared" si="6"/>
        <v>11493.356666666674</v>
      </c>
      <c r="J15" s="24">
        <f t="shared" si="6"/>
        <v>8958.2933333333494</v>
      </c>
      <c r="K15" s="24">
        <f t="shared" si="6"/>
        <v>9471.3999999999942</v>
      </c>
      <c r="L15" s="24">
        <f t="shared" si="6"/>
        <v>7815.8466666666718</v>
      </c>
      <c r="M15" s="24">
        <f t="shared" si="6"/>
        <v>5600.1833333333343</v>
      </c>
      <c r="N15" s="24">
        <f t="shared" si="6"/>
        <v>3651.119999999999</v>
      </c>
      <c r="O15" s="24">
        <f t="shared" si="6"/>
        <v>2856.4466666666667</v>
      </c>
      <c r="P15" s="24">
        <f t="shared" si="6"/>
        <v>873.22333333333336</v>
      </c>
      <c r="Q15" s="24">
        <f t="shared" si="6"/>
        <v>12523.959999999992</v>
      </c>
      <c r="R15" s="24">
        <f t="shared" si="6"/>
        <v>13377.449999999983</v>
      </c>
      <c r="S15" s="24">
        <f t="shared" si="6"/>
        <v>12332.599999999991</v>
      </c>
      <c r="T15" s="24">
        <f t="shared" si="6"/>
        <v>10216.970000000001</v>
      </c>
      <c r="U15" s="24">
        <f t="shared" si="6"/>
        <v>9062.0499999999884</v>
      </c>
      <c r="V15" s="24">
        <f t="shared" si="6"/>
        <v>6693.6399999999994</v>
      </c>
      <c r="W15" s="24">
        <f t="shared" si="6"/>
        <v>8825.39</v>
      </c>
      <c r="X15" s="24">
        <f t="shared" si="6"/>
        <v>6898.7000000000044</v>
      </c>
      <c r="Y15" s="24">
        <f t="shared" si="6"/>
        <v>5354.7299999999959</v>
      </c>
      <c r="Z15" s="24">
        <f t="shared" si="6"/>
        <v>4244.09</v>
      </c>
      <c r="AA15" s="24">
        <f t="shared" si="6"/>
        <v>1584.1100000000006</v>
      </c>
      <c r="AB15" s="24">
        <f t="shared" si="6"/>
        <v>133.10000000000036</v>
      </c>
      <c r="AC15" s="24">
        <f t="shared" si="6"/>
        <v>13170.350000000006</v>
      </c>
      <c r="AD15" s="24">
        <f t="shared" si="6"/>
        <v>12681.62999999999</v>
      </c>
      <c r="AE15" s="24">
        <f t="shared" si="6"/>
        <v>10894.25</v>
      </c>
      <c r="AF15" s="24">
        <f t="shared" si="6"/>
        <v>10468.25</v>
      </c>
      <c r="AG15" s="24">
        <f t="shared" si="6"/>
        <v>9897</v>
      </c>
      <c r="AH15" s="24">
        <f t="shared" si="6"/>
        <v>7945</v>
      </c>
      <c r="AI15" s="24">
        <f t="shared" si="6"/>
        <v>8762.9799999999959</v>
      </c>
      <c r="AJ15" s="24">
        <f t="shared" si="6"/>
        <v>6089.6100000000006</v>
      </c>
      <c r="AK15" s="24">
        <f t="shared" si="6"/>
        <v>4447.4500000000044</v>
      </c>
      <c r="AL15" s="24">
        <f t="shared" si="6"/>
        <v>5308.1699999999983</v>
      </c>
      <c r="AM15" s="24">
        <f t="shared" si="6"/>
        <v>2776.8600000000006</v>
      </c>
      <c r="AN15" s="24">
        <f t="shared" si="6"/>
        <v>230.15999999999985</v>
      </c>
      <c r="AO15" s="24">
        <f t="shared" si="6"/>
        <v>12471.600000000006</v>
      </c>
      <c r="AP15" s="24">
        <f t="shared" si="6"/>
        <v>12685.283333333326</v>
      </c>
      <c r="AQ15" s="24">
        <f t="shared" si="6"/>
        <v>10799.556666666656</v>
      </c>
      <c r="AR15" s="24">
        <f t="shared" si="6"/>
        <v>9478.320000000007</v>
      </c>
      <c r="AS15" s="24">
        <f t="shared" si="6"/>
        <v>7005.993333333332</v>
      </c>
      <c r="AT15" s="24">
        <f t="shared" si="6"/>
        <v>4702.9066666666622</v>
      </c>
      <c r="AU15" s="24">
        <f t="shared" si="6"/>
        <v>4895.6500000000015</v>
      </c>
      <c r="AV15" s="24">
        <f t="shared" si="6"/>
        <v>4014.2633333333288</v>
      </c>
      <c r="AW15" s="24">
        <f t="shared" si="6"/>
        <v>2603.5266666666648</v>
      </c>
      <c r="AX15" s="24">
        <f t="shared" si="6"/>
        <v>951.34000000000015</v>
      </c>
      <c r="AY15" s="24">
        <f t="shared" si="6"/>
        <v>-236.95666666666875</v>
      </c>
      <c r="AZ15" s="24">
        <f t="shared" si="6"/>
        <v>-2834.623333333333</v>
      </c>
      <c r="BA15" s="24">
        <f t="shared" si="6"/>
        <v>16447.546666666676</v>
      </c>
      <c r="BB15" s="24">
        <f t="shared" si="6"/>
        <v>15053.423333333354</v>
      </c>
      <c r="BC15" s="24">
        <f t="shared" si="6"/>
        <v>12257.429999999993</v>
      </c>
      <c r="BD15" s="24">
        <f t="shared" si="6"/>
        <v>8906.506666666668</v>
      </c>
      <c r="BE15" s="24">
        <f t="shared" si="6"/>
        <v>12558.323333333348</v>
      </c>
      <c r="BF15" s="24">
        <f t="shared" si="6"/>
        <v>11053.489999999998</v>
      </c>
      <c r="BG15" s="24">
        <f t="shared" si="6"/>
        <v>7567.9566666666724</v>
      </c>
      <c r="BH15" s="24">
        <f t="shared" si="6"/>
        <v>4875.9433333333363</v>
      </c>
      <c r="BI15" s="24">
        <f t="shared" si="6"/>
        <v>3945.84</v>
      </c>
      <c r="BJ15" s="24">
        <f t="shared" si="6"/>
        <v>6757.7366666666676</v>
      </c>
      <c r="BK15" s="24">
        <f t="shared" si="6"/>
        <v>1408.8533333333326</v>
      </c>
      <c r="BL15" s="24">
        <f t="shared" si="6"/>
        <v>21466.300000000017</v>
      </c>
      <c r="BM15" s="24">
        <f t="shared" si="6"/>
        <v>20792.363333333327</v>
      </c>
      <c r="BN15" s="24">
        <f t="shared" si="6"/>
        <v>16897.84666666665</v>
      </c>
      <c r="BO15" s="24">
        <f t="shared" si="6"/>
        <v>14677.169999999998</v>
      </c>
      <c r="BP15" s="24">
        <f t="shared" si="6"/>
        <v>12073.743333333332</v>
      </c>
      <c r="BQ15" s="24">
        <f t="shared" si="6"/>
        <v>9696.9766666666546</v>
      </c>
      <c r="BR15" s="24">
        <f t="shared" si="6"/>
        <v>8653.1800000000076</v>
      </c>
      <c r="BS15" s="24">
        <f t="shared" si="6"/>
        <v>5183.1933333333291</v>
      </c>
      <c r="BT15" s="24">
        <f t="shared" si="6"/>
        <v>5055.1666666666642</v>
      </c>
      <c r="BU15" s="24">
        <f t="shared" si="6"/>
        <v>4984.6700000000019</v>
      </c>
      <c r="BV15" s="24">
        <f t="shared" si="6"/>
        <v>2793.8233333333301</v>
      </c>
      <c r="BW15" s="24">
        <f t="shared" si="6"/>
        <v>1382.786666666665</v>
      </c>
    </row>
    <row r="16" spans="1:80" x14ac:dyDescent="0.25"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</row>
    <row r="17" spans="1:75" x14ac:dyDescent="0.25">
      <c r="A17" s="1" t="s">
        <v>45</v>
      </c>
      <c r="D17" s="1" t="s">
        <v>46</v>
      </c>
      <c r="E17" s="27">
        <f t="shared" ref="E17:BK17" si="7">+E15+E7+E11</f>
        <v>16214.201428571429</v>
      </c>
      <c r="F17" s="27">
        <f t="shared" si="7"/>
        <v>15068.000476190478</v>
      </c>
      <c r="G17" s="27">
        <f t="shared" si="7"/>
        <v>13843.749523809525</v>
      </c>
      <c r="H17" s="27">
        <f t="shared" si="7"/>
        <v>8660.2100000000064</v>
      </c>
      <c r="I17" s="27">
        <f t="shared" si="7"/>
        <v>5978.1990476190585</v>
      </c>
      <c r="J17" s="27">
        <f t="shared" si="7"/>
        <v>897.27238095240136</v>
      </c>
      <c r="K17" s="27">
        <f t="shared" si="7"/>
        <v>1204.1199999999953</v>
      </c>
      <c r="L17" s="27">
        <f t="shared" si="7"/>
        <v>368.0033333333522</v>
      </c>
      <c r="M17" s="27">
        <f t="shared" si="7"/>
        <v>-1393.3933333333352</v>
      </c>
      <c r="N17" s="27">
        <f t="shared" si="7"/>
        <v>-2305.9400000000023</v>
      </c>
      <c r="O17" s="27">
        <f t="shared" si="7"/>
        <v>-1956.9766666666628</v>
      </c>
      <c r="P17" s="27">
        <f t="shared" si="7"/>
        <v>-986.34333333332734</v>
      </c>
      <c r="Q17" s="27">
        <f t="shared" si="7"/>
        <v>-1152.8199999999888</v>
      </c>
      <c r="R17" s="27">
        <f t="shared" si="7"/>
        <v>1302.8175757575591</v>
      </c>
      <c r="S17" s="27">
        <f t="shared" si="7"/>
        <v>1014.4033333333427</v>
      </c>
      <c r="T17" s="27">
        <f t="shared" si="7"/>
        <v>-242.6933333333327</v>
      </c>
      <c r="U17" s="27">
        <f t="shared" si="7"/>
        <v>-588.38333333333503</v>
      </c>
      <c r="V17" s="27">
        <f t="shared" si="7"/>
        <v>-2494.6452380952451</v>
      </c>
      <c r="W17" s="27">
        <f t="shared" si="7"/>
        <v>629.36000000000422</v>
      </c>
      <c r="X17" s="27">
        <f t="shared" si="7"/>
        <v>-431.77333333333081</v>
      </c>
      <c r="Y17" s="27">
        <f t="shared" si="7"/>
        <v>-415.62666666667246</v>
      </c>
      <c r="Z17" s="27">
        <f t="shared" si="7"/>
        <v>-1020.8399999999965</v>
      </c>
      <c r="AA17" s="27">
        <f t="shared" si="7"/>
        <v>-3258.7233333333324</v>
      </c>
      <c r="AB17" s="27">
        <f t="shared" si="7"/>
        <v>-4532.8166666666657</v>
      </c>
      <c r="AC17" s="27">
        <f t="shared" si="7"/>
        <v>11684.929999999989</v>
      </c>
      <c r="AD17" s="27">
        <f t="shared" si="7"/>
        <v>11599.576363636354</v>
      </c>
      <c r="AE17" s="27">
        <f t="shared" si="7"/>
        <v>10191.159999999989</v>
      </c>
      <c r="AF17" s="27">
        <f t="shared" si="7"/>
        <v>8292.9833333333318</v>
      </c>
      <c r="AG17" s="27">
        <f t="shared" si="7"/>
        <v>6203.359999999986</v>
      </c>
      <c r="AH17" s="27">
        <f t="shared" si="7"/>
        <v>4735.1799999999912</v>
      </c>
      <c r="AI17" s="27">
        <f t="shared" si="7"/>
        <v>5633.7499999999891</v>
      </c>
      <c r="AJ17" s="27">
        <f t="shared" si="7"/>
        <v>3507.9899999999975</v>
      </c>
      <c r="AK17" s="27">
        <f t="shared" si="7"/>
        <v>750.90000000000146</v>
      </c>
      <c r="AL17" s="27">
        <f t="shared" si="7"/>
        <v>1411.2400000000021</v>
      </c>
      <c r="AM17" s="27">
        <f t="shared" si="7"/>
        <v>-723.47000000000116</v>
      </c>
      <c r="AN17" s="27">
        <f t="shared" si="7"/>
        <v>-2156.2199999999975</v>
      </c>
      <c r="AO17" s="27">
        <f t="shared" si="7"/>
        <v>9155.6400000000103</v>
      </c>
      <c r="AP17" s="27">
        <f t="shared" si="7"/>
        <v>10807.483939393935</v>
      </c>
      <c r="AQ17" s="27">
        <f t="shared" si="7"/>
        <v>9791.9933333333211</v>
      </c>
      <c r="AR17" s="27">
        <f t="shared" si="7"/>
        <v>9580.8800000000047</v>
      </c>
      <c r="AS17" s="27">
        <f t="shared" si="7"/>
        <v>7095.1266666666634</v>
      </c>
      <c r="AT17" s="27">
        <f t="shared" si="7"/>
        <v>5815.6233333333275</v>
      </c>
      <c r="AU17" s="27">
        <f t="shared" si="7"/>
        <v>6407.7599999999984</v>
      </c>
      <c r="AV17" s="27">
        <f t="shared" si="7"/>
        <v>4384.9066666666658</v>
      </c>
      <c r="AW17" s="27">
        <f t="shared" si="7"/>
        <v>3660.0233333333254</v>
      </c>
      <c r="AX17" s="27">
        <f t="shared" si="7"/>
        <v>2602.6199999999953</v>
      </c>
      <c r="AY17" s="27">
        <f t="shared" si="7"/>
        <v>-1339.2033333333302</v>
      </c>
      <c r="AZ17" s="27">
        <f t="shared" si="7"/>
        <v>-3836.1066666666679</v>
      </c>
      <c r="BA17" s="27">
        <f t="shared" si="7"/>
        <v>17322.449696969721</v>
      </c>
      <c r="BB17" s="27">
        <f t="shared" si="7"/>
        <v>12404.956666666694</v>
      </c>
      <c r="BC17" s="27">
        <f t="shared" si="7"/>
        <v>2144.44333333332</v>
      </c>
      <c r="BD17" s="27">
        <f t="shared" si="7"/>
        <v>125.85333333332892</v>
      </c>
      <c r="BE17" s="27">
        <f t="shared" si="7"/>
        <v>5340.4066666666804</v>
      </c>
      <c r="BF17" s="27">
        <f t="shared" si="7"/>
        <v>6002.229999999985</v>
      </c>
      <c r="BG17" s="27">
        <f t="shared" si="7"/>
        <v>3429.9533333333275</v>
      </c>
      <c r="BH17" s="27">
        <f t="shared" si="7"/>
        <v>2939.1866666666738</v>
      </c>
      <c r="BI17" s="27">
        <f t="shared" si="7"/>
        <v>2303.2100000000132</v>
      </c>
      <c r="BJ17" s="27">
        <f t="shared" si="7"/>
        <v>4287.1933333333427</v>
      </c>
      <c r="BK17" s="27">
        <f t="shared" si="7"/>
        <v>1576.6766666666713</v>
      </c>
      <c r="BL17" s="27">
        <f t="shared" ref="BL17:BW17" si="8">+BL15+BL7</f>
        <v>16823.390909090929</v>
      </c>
      <c r="BM17" s="27">
        <f t="shared" si="8"/>
        <v>16149.454242424239</v>
      </c>
      <c r="BN17" s="27">
        <f t="shared" si="8"/>
        <v>12160.246666666651</v>
      </c>
      <c r="BO17" s="27">
        <f t="shared" si="8"/>
        <v>9842.5033333333322</v>
      </c>
      <c r="BP17" s="27">
        <f t="shared" si="8"/>
        <v>7159.743333333332</v>
      </c>
      <c r="BQ17" s="27">
        <f t="shared" si="8"/>
        <v>4728.9766666666574</v>
      </c>
      <c r="BR17" s="27">
        <f t="shared" si="8"/>
        <v>3641.1800000000112</v>
      </c>
      <c r="BS17" s="27">
        <f t="shared" si="8"/>
        <v>176.79333333332761</v>
      </c>
      <c r="BT17" s="27">
        <f t="shared" si="8"/>
        <v>141.16666666666424</v>
      </c>
      <c r="BU17" s="27">
        <f t="shared" si="8"/>
        <v>-559.32999999999811</v>
      </c>
      <c r="BV17" s="27">
        <f t="shared" si="8"/>
        <v>-1658.1766666666699</v>
      </c>
      <c r="BW17" s="27">
        <f t="shared" si="8"/>
        <v>-2145.213333333335</v>
      </c>
    </row>
    <row r="19" spans="1:75" x14ac:dyDescent="0.25">
      <c r="A19" s="36" t="s">
        <v>47</v>
      </c>
      <c r="D19" s="1" t="s">
        <v>48</v>
      </c>
      <c r="E19" s="26">
        <v>213717.5</v>
      </c>
      <c r="F19" s="26">
        <v>200455.16</v>
      </c>
      <c r="G19" s="26">
        <v>199174.08</v>
      </c>
      <c r="H19" s="26">
        <v>198871.91</v>
      </c>
      <c r="I19" s="26">
        <v>201633.03</v>
      </c>
      <c r="J19" s="26">
        <v>198427.36</v>
      </c>
      <c r="K19" s="26">
        <v>201764.75</v>
      </c>
      <c r="L19" s="26">
        <v>204090.18</v>
      </c>
      <c r="M19" s="26">
        <v>204811.16</v>
      </c>
      <c r="N19" s="26">
        <v>207426.69</v>
      </c>
      <c r="O19" s="26">
        <v>208671.66</v>
      </c>
      <c r="P19" s="26">
        <v>205831.41</v>
      </c>
      <c r="Q19" s="26">
        <v>196400.27</v>
      </c>
      <c r="R19" s="26">
        <v>183372.72</v>
      </c>
      <c r="S19" s="26">
        <v>187318.57</v>
      </c>
      <c r="T19" s="26">
        <v>192689.72</v>
      </c>
      <c r="U19" s="26">
        <v>196488.25</v>
      </c>
      <c r="V19" s="26">
        <v>199939.96</v>
      </c>
      <c r="W19" s="26">
        <v>206509.62</v>
      </c>
      <c r="X19" s="26">
        <v>208026.37</v>
      </c>
      <c r="Y19" s="26">
        <v>226589.55</v>
      </c>
      <c r="Z19" s="26">
        <v>236966</v>
      </c>
      <c r="AA19" s="26">
        <v>216536.92</v>
      </c>
      <c r="AB19" s="26">
        <v>208852.88</v>
      </c>
      <c r="AC19" s="26">
        <v>208084.34</v>
      </c>
      <c r="AD19" s="26">
        <v>190910.57</v>
      </c>
      <c r="AE19" s="26">
        <v>195109.54</v>
      </c>
      <c r="AF19" s="26">
        <v>196661.4</v>
      </c>
      <c r="AG19" s="26">
        <v>198062.31</v>
      </c>
      <c r="AH19" s="26">
        <v>201360.67</v>
      </c>
      <c r="AI19" s="26">
        <v>205295.41</v>
      </c>
      <c r="AJ19" s="26">
        <v>222436.86</v>
      </c>
      <c r="AK19" s="26">
        <v>223214.74</v>
      </c>
      <c r="AL19" s="26">
        <v>225441.26</v>
      </c>
      <c r="AM19" s="26">
        <v>200070.68</v>
      </c>
      <c r="AN19" s="26">
        <v>190292.37</v>
      </c>
      <c r="AO19" s="25">
        <v>183451.03</v>
      </c>
      <c r="AP19" s="25">
        <v>165527.87</v>
      </c>
      <c r="AQ19" s="25">
        <v>169705.41</v>
      </c>
      <c r="AR19" s="25">
        <v>171598.07</v>
      </c>
      <c r="AS19" s="25">
        <v>171675.05</v>
      </c>
      <c r="AT19" s="48">
        <v>174179.87</v>
      </c>
      <c r="AU19" s="48">
        <v>196037.68</v>
      </c>
      <c r="AV19" s="48">
        <v>201222.8</v>
      </c>
      <c r="AW19" s="48">
        <v>199351.59</v>
      </c>
      <c r="AX19" s="48">
        <v>182578.38</v>
      </c>
      <c r="AY19" s="48">
        <v>172974.49</v>
      </c>
      <c r="AZ19" s="48">
        <v>168857.21</v>
      </c>
      <c r="BA19" s="48">
        <v>138236.38</v>
      </c>
      <c r="BB19" s="48">
        <v>139914.1</v>
      </c>
      <c r="BC19" s="48">
        <v>136897.97</v>
      </c>
      <c r="BD19" s="48">
        <v>133154.15</v>
      </c>
      <c r="BE19" s="48">
        <v>141056.29</v>
      </c>
      <c r="BF19" s="48">
        <v>146472.87</v>
      </c>
      <c r="BG19" s="48">
        <v>171294.25</v>
      </c>
      <c r="BH19" s="48">
        <v>171543.28</v>
      </c>
      <c r="BI19" s="48">
        <v>155924.75</v>
      </c>
      <c r="BJ19" s="48">
        <v>154498.1</v>
      </c>
      <c r="BK19" s="48">
        <v>152371.14000000001</v>
      </c>
      <c r="BL19" s="48">
        <v>120388.32</v>
      </c>
      <c r="BM19" s="48">
        <v>99920.19</v>
      </c>
      <c r="BN19" s="48">
        <v>101238.88</v>
      </c>
      <c r="BO19" s="48">
        <v>105639.09</v>
      </c>
      <c r="BP19" s="48">
        <v>108992.54</v>
      </c>
      <c r="BQ19" s="48">
        <v>112437.44</v>
      </c>
      <c r="BR19" s="48">
        <v>113633.69</v>
      </c>
      <c r="BS19" s="48">
        <v>115805.19</v>
      </c>
      <c r="BT19" s="48">
        <v>157672.74</v>
      </c>
      <c r="BU19" s="48">
        <v>164947.21</v>
      </c>
      <c r="BV19" s="48">
        <v>154575.5</v>
      </c>
      <c r="BW19" s="48">
        <v>151253.48000000001</v>
      </c>
    </row>
    <row r="20" spans="1:75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26">
        <v>-49286.32</v>
      </c>
      <c r="K20" s="26">
        <v>-49286.32</v>
      </c>
      <c r="L20" s="26">
        <v>-52772.84</v>
      </c>
      <c r="M20" s="26">
        <v>-52772.84</v>
      </c>
      <c r="N20" s="26">
        <v>-52772.84</v>
      </c>
      <c r="O20" s="26">
        <v>-52772.84</v>
      </c>
      <c r="P20" s="26">
        <v>-52772.84</v>
      </c>
      <c r="Q20" s="26">
        <v>-49435.3</v>
      </c>
      <c r="R20" s="26">
        <v>-49435.3</v>
      </c>
      <c r="S20" s="26">
        <v>-49435.3</v>
      </c>
      <c r="T20" s="26">
        <v>-49435.3</v>
      </c>
      <c r="U20" s="26">
        <v>-49435.3</v>
      </c>
      <c r="V20" s="26">
        <v>-49435.3</v>
      </c>
      <c r="W20" s="26">
        <v>-49435.3</v>
      </c>
      <c r="X20" s="26">
        <v>-49435.3</v>
      </c>
      <c r="Y20" s="26">
        <v>-49435.3</v>
      </c>
      <c r="Z20" s="26">
        <v>-49435.3</v>
      </c>
      <c r="AA20" s="26">
        <v>-49435.3</v>
      </c>
      <c r="AB20" s="26">
        <v>-49435.3</v>
      </c>
      <c r="AC20" s="26">
        <v>-49532.62</v>
      </c>
      <c r="AD20" s="26">
        <v>-49532.62</v>
      </c>
      <c r="AE20" s="26">
        <v>-49532.62</v>
      </c>
      <c r="AF20" s="26">
        <v>-49532.62</v>
      </c>
      <c r="AG20" s="26">
        <v>-49532.62</v>
      </c>
      <c r="AH20" s="26">
        <v>-49532.62</v>
      </c>
      <c r="AI20" s="26">
        <v>-49532.62</v>
      </c>
      <c r="AJ20" s="26">
        <v>-49532.62</v>
      </c>
      <c r="AK20" s="26">
        <v>-49532.62</v>
      </c>
      <c r="AL20" s="26">
        <v>-49532.62</v>
      </c>
      <c r="AM20" s="26">
        <v>-49532.62</v>
      </c>
      <c r="AN20" s="26">
        <v>-49532.62</v>
      </c>
      <c r="AO20" s="26">
        <v>-50647.44</v>
      </c>
      <c r="AP20" s="26">
        <v>-48110.63</v>
      </c>
      <c r="AQ20" s="26">
        <v>-47041.58</v>
      </c>
      <c r="AR20" s="26">
        <v>-47041.58</v>
      </c>
      <c r="AS20" s="26">
        <v>-47041.58</v>
      </c>
      <c r="AT20" s="48">
        <v>-47041.58</v>
      </c>
      <c r="AU20" s="48">
        <v>-47041.58</v>
      </c>
      <c r="AV20" s="48">
        <v>-47041.58</v>
      </c>
      <c r="AW20" s="48">
        <v>-47041.58</v>
      </c>
      <c r="AX20" s="48">
        <v>-47041.58</v>
      </c>
      <c r="AY20" s="48">
        <v>-47041.58</v>
      </c>
      <c r="AZ20" s="48">
        <v>-47041.58</v>
      </c>
      <c r="BA20" s="48">
        <v>-46210.35</v>
      </c>
      <c r="BB20" s="48">
        <v>-46210.35</v>
      </c>
      <c r="BC20" s="48">
        <v>-46210.35</v>
      </c>
      <c r="BD20" s="48">
        <v>-46210.35</v>
      </c>
      <c r="BE20" s="48">
        <v>-46210.35</v>
      </c>
      <c r="BF20" s="48">
        <v>-46210.35</v>
      </c>
      <c r="BG20" s="48">
        <v>-46210.35</v>
      </c>
      <c r="BH20" s="48">
        <v>-46210.35</v>
      </c>
      <c r="BI20" s="48">
        <v>-46210.35</v>
      </c>
      <c r="BJ20" s="48">
        <v>-46210.35</v>
      </c>
      <c r="BK20" s="48">
        <v>-46210.35</v>
      </c>
      <c r="BL20" s="48">
        <v>-47919.53</v>
      </c>
      <c r="BM20" s="48">
        <v>-47919.53</v>
      </c>
      <c r="BN20" s="48">
        <v>-47919.53</v>
      </c>
      <c r="BO20" s="48">
        <v>-47919.53</v>
      </c>
      <c r="BP20" s="48">
        <v>-47919.53</v>
      </c>
      <c r="BQ20" s="48">
        <v>-47919.53</v>
      </c>
      <c r="BR20" s="48">
        <v>-47919.53</v>
      </c>
      <c r="BS20" s="48">
        <v>-47919.53</v>
      </c>
      <c r="BT20" s="48">
        <v>-47919.53</v>
      </c>
      <c r="BU20" s="48">
        <v>-47919.53</v>
      </c>
      <c r="BV20" s="48">
        <v>-47919.53</v>
      </c>
      <c r="BW20" s="48">
        <v>-47919.53</v>
      </c>
    </row>
    <row r="21" spans="1:75" ht="15.75" customHeight="1" x14ac:dyDescent="0.25">
      <c r="A21" s="1" t="s">
        <v>45</v>
      </c>
      <c r="E21" s="28">
        <f t="shared" ref="E21:BW21" si="9">SUM(E19:E20)</f>
        <v>164431.18</v>
      </c>
      <c r="F21" s="28">
        <f t="shared" si="9"/>
        <v>151168.84</v>
      </c>
      <c r="G21" s="28">
        <f t="shared" si="9"/>
        <v>149887.75999999998</v>
      </c>
      <c r="H21" s="28">
        <f t="shared" si="9"/>
        <v>149585.59</v>
      </c>
      <c r="I21" s="28">
        <f t="shared" si="9"/>
        <v>152346.71</v>
      </c>
      <c r="J21" s="28">
        <f t="shared" si="9"/>
        <v>149141.03999999998</v>
      </c>
      <c r="K21" s="28">
        <f t="shared" si="9"/>
        <v>152478.43</v>
      </c>
      <c r="L21" s="28">
        <f t="shared" si="9"/>
        <v>151317.34</v>
      </c>
      <c r="M21" s="28">
        <f t="shared" si="9"/>
        <v>152038.32</v>
      </c>
      <c r="N21" s="28">
        <f t="shared" si="9"/>
        <v>154653.85</v>
      </c>
      <c r="O21" s="28">
        <f t="shared" si="9"/>
        <v>155898.82</v>
      </c>
      <c r="P21" s="28">
        <f t="shared" si="9"/>
        <v>153058.57</v>
      </c>
      <c r="Q21" s="28">
        <f t="shared" si="9"/>
        <v>146964.96999999997</v>
      </c>
      <c r="R21" s="28">
        <f t="shared" si="9"/>
        <v>133937.41999999998</v>
      </c>
      <c r="S21" s="28">
        <f t="shared" si="9"/>
        <v>137883.27000000002</v>
      </c>
      <c r="T21" s="28">
        <f t="shared" si="9"/>
        <v>143254.41999999998</v>
      </c>
      <c r="U21" s="28">
        <f t="shared" si="9"/>
        <v>147052.95000000001</v>
      </c>
      <c r="V21" s="28">
        <f t="shared" si="9"/>
        <v>150504.65999999997</v>
      </c>
      <c r="W21" s="28">
        <f t="shared" si="9"/>
        <v>157074.32</v>
      </c>
      <c r="X21" s="28">
        <f t="shared" si="9"/>
        <v>158591.07</v>
      </c>
      <c r="Y21" s="28">
        <f t="shared" si="9"/>
        <v>177154.25</v>
      </c>
      <c r="Z21" s="28">
        <f t="shared" si="9"/>
        <v>187530.7</v>
      </c>
      <c r="AA21" s="28">
        <f t="shared" si="9"/>
        <v>167101.62</v>
      </c>
      <c r="AB21" s="28">
        <f t="shared" si="9"/>
        <v>159417.58000000002</v>
      </c>
      <c r="AC21" s="28">
        <f t="shared" si="9"/>
        <v>158551.72</v>
      </c>
      <c r="AD21" s="28">
        <f t="shared" si="9"/>
        <v>141377.95000000001</v>
      </c>
      <c r="AE21" s="28">
        <f t="shared" si="9"/>
        <v>145576.92000000001</v>
      </c>
      <c r="AF21" s="28">
        <f t="shared" si="9"/>
        <v>147128.78</v>
      </c>
      <c r="AG21" s="28">
        <f t="shared" si="9"/>
        <v>148529.69</v>
      </c>
      <c r="AH21" s="28">
        <f t="shared" si="9"/>
        <v>151828.05000000002</v>
      </c>
      <c r="AI21" s="28">
        <f t="shared" si="9"/>
        <v>155762.79</v>
      </c>
      <c r="AJ21" s="28">
        <f t="shared" si="9"/>
        <v>172904.24</v>
      </c>
      <c r="AK21" s="28">
        <f t="shared" si="9"/>
        <v>173682.12</v>
      </c>
      <c r="AL21" s="28">
        <f t="shared" si="9"/>
        <v>175908.64</v>
      </c>
      <c r="AM21" s="28">
        <f t="shared" si="9"/>
        <v>150538.06</v>
      </c>
      <c r="AN21" s="28">
        <f t="shared" si="9"/>
        <v>140759.75</v>
      </c>
      <c r="AO21" s="28">
        <f t="shared" si="9"/>
        <v>132803.59</v>
      </c>
      <c r="AP21" s="28">
        <f t="shared" si="9"/>
        <v>117417.23999999999</v>
      </c>
      <c r="AQ21" s="28">
        <f t="shared" si="9"/>
        <v>122663.83</v>
      </c>
      <c r="AR21" s="28">
        <f t="shared" si="9"/>
        <v>124556.49</v>
      </c>
      <c r="AS21" s="28">
        <f t="shared" si="9"/>
        <v>124633.46999999999</v>
      </c>
      <c r="AT21" s="28">
        <f t="shared" si="9"/>
        <v>127138.29</v>
      </c>
      <c r="AU21" s="28">
        <f t="shared" si="9"/>
        <v>148996.09999999998</v>
      </c>
      <c r="AV21" s="28">
        <f t="shared" si="9"/>
        <v>154181.21999999997</v>
      </c>
      <c r="AW21" s="28">
        <f t="shared" si="9"/>
        <v>152310.01</v>
      </c>
      <c r="AX21" s="28">
        <f t="shared" si="9"/>
        <v>135536.79999999999</v>
      </c>
      <c r="AY21" s="28">
        <f t="shared" si="9"/>
        <v>125932.90999999999</v>
      </c>
      <c r="AZ21" s="28">
        <f t="shared" si="9"/>
        <v>121815.62999999999</v>
      </c>
      <c r="BA21" s="28">
        <f t="shared" si="9"/>
        <v>92026.03</v>
      </c>
      <c r="BB21" s="28">
        <f t="shared" si="9"/>
        <v>93703.75</v>
      </c>
      <c r="BC21" s="28">
        <f t="shared" si="9"/>
        <v>90687.62</v>
      </c>
      <c r="BD21" s="28">
        <f t="shared" si="9"/>
        <v>86943.799999999988</v>
      </c>
      <c r="BE21" s="28">
        <f t="shared" si="9"/>
        <v>94845.94</v>
      </c>
      <c r="BF21" s="28">
        <f t="shared" si="9"/>
        <v>100262.51999999999</v>
      </c>
      <c r="BG21" s="28">
        <f t="shared" si="9"/>
        <v>125083.9</v>
      </c>
      <c r="BH21" s="28">
        <f t="shared" si="9"/>
        <v>125332.93</v>
      </c>
      <c r="BI21" s="28">
        <f t="shared" si="9"/>
        <v>109714.4</v>
      </c>
      <c r="BJ21" s="28">
        <f t="shared" si="9"/>
        <v>108287.75</v>
      </c>
      <c r="BK21" s="28">
        <f t="shared" si="9"/>
        <v>106160.79000000001</v>
      </c>
      <c r="BL21" s="28">
        <f t="shared" si="9"/>
        <v>72468.790000000008</v>
      </c>
      <c r="BM21" s="28">
        <f t="shared" si="9"/>
        <v>52000.66</v>
      </c>
      <c r="BN21" s="28">
        <f t="shared" si="9"/>
        <v>53319.350000000006</v>
      </c>
      <c r="BO21" s="28">
        <f t="shared" si="9"/>
        <v>57719.56</v>
      </c>
      <c r="BP21" s="28">
        <f t="shared" si="9"/>
        <v>61073.009999999995</v>
      </c>
      <c r="BQ21" s="28">
        <f t="shared" si="9"/>
        <v>64517.91</v>
      </c>
      <c r="BR21" s="28">
        <f t="shared" si="9"/>
        <v>65714.16</v>
      </c>
      <c r="BS21" s="28">
        <f t="shared" si="9"/>
        <v>67885.66</v>
      </c>
      <c r="BT21" s="28">
        <f t="shared" si="9"/>
        <v>109753.20999999999</v>
      </c>
      <c r="BU21" s="28">
        <f t="shared" si="9"/>
        <v>117027.68</v>
      </c>
      <c r="BV21" s="28">
        <f t="shared" si="9"/>
        <v>106655.97</v>
      </c>
      <c r="BW21" s="28">
        <f t="shared" si="9"/>
        <v>103333.95000000001</v>
      </c>
    </row>
    <row r="22" spans="1:75" ht="15.75" customHeight="1" x14ac:dyDescent="0.2"/>
    <row r="23" spans="1:75" ht="15.75" customHeight="1" x14ac:dyDescent="0.25">
      <c r="A23" s="36" t="s">
        <v>51</v>
      </c>
      <c r="D23" s="1" t="s">
        <v>52</v>
      </c>
      <c r="E23" s="25">
        <v>9553.5400000000009</v>
      </c>
      <c r="F23" s="25">
        <v>9872.83</v>
      </c>
      <c r="G23" s="25">
        <v>9891.52</v>
      </c>
      <c r="H23" s="25">
        <v>9914.73</v>
      </c>
      <c r="I23" s="25">
        <v>9914.73</v>
      </c>
      <c r="J23" s="25">
        <v>9914.73</v>
      </c>
      <c r="K23" s="25">
        <v>9914.73</v>
      </c>
      <c r="L23" s="25">
        <v>9977.82</v>
      </c>
      <c r="M23" s="25"/>
      <c r="N23" s="25"/>
      <c r="O23" s="25"/>
      <c r="P23" s="25"/>
      <c r="Q23" s="25">
        <v>2159.13</v>
      </c>
      <c r="R23" s="25">
        <v>2059.13</v>
      </c>
      <c r="S23" s="25">
        <v>2059.13</v>
      </c>
      <c r="T23" s="25">
        <v>2059.13</v>
      </c>
      <c r="U23" s="25">
        <v>2059.13</v>
      </c>
      <c r="V23" s="25">
        <v>2059.13</v>
      </c>
      <c r="W23" s="25">
        <v>2059.13</v>
      </c>
      <c r="X23" s="25">
        <v>2059.13</v>
      </c>
      <c r="Y23" s="25"/>
      <c r="Z23" s="25"/>
      <c r="AA23" s="25"/>
      <c r="AB23" s="25"/>
      <c r="AC23" s="25">
        <v>15327.16</v>
      </c>
      <c r="AD23" s="25">
        <v>15327.16</v>
      </c>
      <c r="AE23" s="25">
        <v>15327.16</v>
      </c>
      <c r="AF23" s="25">
        <v>15327.16</v>
      </c>
      <c r="AG23" s="25">
        <v>15327.16</v>
      </c>
      <c r="AH23" s="25">
        <v>15327.16</v>
      </c>
      <c r="AI23" s="25">
        <v>15327.16</v>
      </c>
      <c r="AJ23" s="25">
        <v>15327.16</v>
      </c>
      <c r="AO23" s="59">
        <v>11273.89</v>
      </c>
      <c r="AP23" s="59">
        <v>11273.89</v>
      </c>
      <c r="AQ23" s="59">
        <v>11273.89</v>
      </c>
      <c r="AR23" s="59">
        <v>11273.89</v>
      </c>
      <c r="AS23" s="59">
        <v>11273.89</v>
      </c>
      <c r="AT23" s="59">
        <v>11273.89</v>
      </c>
      <c r="AU23" s="59"/>
      <c r="AV23" s="59"/>
      <c r="AW23" s="59"/>
      <c r="AX23" s="59"/>
      <c r="AY23" s="59"/>
      <c r="AZ23" s="59"/>
      <c r="BA23" s="59">
        <v>12836.49</v>
      </c>
      <c r="BB23" s="59">
        <v>13124.2</v>
      </c>
      <c r="BC23" s="59">
        <v>13755</v>
      </c>
      <c r="BD23" s="59">
        <v>13755</v>
      </c>
      <c r="BE23" s="59">
        <v>13755</v>
      </c>
      <c r="BF23" s="59">
        <v>15375.21</v>
      </c>
      <c r="BG23" s="60" t="s">
        <v>53</v>
      </c>
      <c r="BH23" s="60" t="s">
        <v>53</v>
      </c>
      <c r="BI23" s="60" t="s">
        <v>53</v>
      </c>
      <c r="BJ23" s="60" t="s">
        <v>53</v>
      </c>
      <c r="BK23" s="60" t="s">
        <v>53</v>
      </c>
      <c r="BL23" s="59">
        <v>-17550.150000000001</v>
      </c>
      <c r="BM23" s="59">
        <v>-17550.150000000001</v>
      </c>
      <c r="BN23" s="59">
        <v>-17550.150000000001</v>
      </c>
      <c r="BO23" s="59">
        <v>-15778.35</v>
      </c>
      <c r="BP23" s="59">
        <v>-15778.35</v>
      </c>
      <c r="BQ23" s="59">
        <v>-15778.35</v>
      </c>
      <c r="BR23" s="59">
        <v>-15778.35</v>
      </c>
      <c r="BS23" s="59">
        <v>-15191.85</v>
      </c>
      <c r="BT23" s="60" t="s">
        <v>53</v>
      </c>
      <c r="BU23" s="60" t="s">
        <v>53</v>
      </c>
      <c r="BV23" s="60" t="s">
        <v>53</v>
      </c>
      <c r="BW23" s="60" t="s">
        <v>53</v>
      </c>
    </row>
    <row r="24" spans="1:75" ht="15.75" customHeight="1" x14ac:dyDescent="0.2"/>
    <row r="25" spans="1:75" ht="15.75" customHeight="1" x14ac:dyDescent="0.25">
      <c r="BA25" s="48"/>
      <c r="BB25" s="48"/>
    </row>
    <row r="26" spans="1:75" ht="15.75" customHeight="1" x14ac:dyDescent="0.25">
      <c r="D26" s="1" t="s">
        <v>54</v>
      </c>
      <c r="AT26" s="61"/>
      <c r="AU26" s="61"/>
      <c r="AV26" s="61"/>
      <c r="AW26" s="61"/>
      <c r="AX26" s="61"/>
      <c r="AY26" s="61"/>
      <c r="AZ26" s="61"/>
      <c r="BJ26" s="48"/>
    </row>
    <row r="27" spans="1:75" ht="15.75" customHeight="1" x14ac:dyDescent="0.2"/>
    <row r="28" spans="1:75" ht="15.75" customHeight="1" x14ac:dyDescent="0.2"/>
    <row r="29" spans="1:75" ht="15.75" customHeight="1" x14ac:dyDescent="0.2"/>
    <row r="30" spans="1:75" ht="15.75" customHeight="1" x14ac:dyDescent="0.25">
      <c r="BJ30" s="48"/>
    </row>
    <row r="31" spans="1:75" ht="15.75" customHeight="1" x14ac:dyDescent="0.2"/>
    <row r="32" spans="1:75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">
    <mergeCell ref="BL1:BN1"/>
    <mergeCell ref="L1:P1"/>
    <mergeCell ref="Q1:AB1"/>
    <mergeCell ref="AC1:AN1"/>
    <mergeCell ref="AO1:AZ1"/>
    <mergeCell ref="BA1:BB1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O1000"/>
  <sheetViews>
    <sheetView workbookViewId="0"/>
  </sheetViews>
  <sheetFormatPr defaultColWidth="12.625" defaultRowHeight="15" customHeight="1" x14ac:dyDescent="0.2"/>
  <cols>
    <col min="1" max="2" width="8" customWidth="1"/>
    <col min="3" max="3" width="45.625" customWidth="1"/>
    <col min="4" max="6" width="13.25" customWidth="1"/>
    <col min="7" max="15" width="13.25" hidden="1" customWidth="1"/>
    <col min="16" max="18" width="13.25" customWidth="1"/>
    <col min="19" max="22" width="13.25" hidden="1" customWidth="1"/>
    <col min="23" max="23" width="13.625" hidden="1" customWidth="1"/>
    <col min="24" max="24" width="13.25" hidden="1" customWidth="1"/>
    <col min="25" max="25" width="13.375" hidden="1" customWidth="1"/>
    <col min="26" max="32" width="13.25" hidden="1" customWidth="1"/>
    <col min="33" max="34" width="12.875" hidden="1" customWidth="1"/>
    <col min="35" max="35" width="14.25" hidden="1" customWidth="1"/>
    <col min="36" max="37" width="12.875" hidden="1" customWidth="1"/>
    <col min="38" max="39" width="15.5" hidden="1" customWidth="1"/>
    <col min="40" max="45" width="13.75" hidden="1" customWidth="1"/>
    <col min="46" max="46" width="13" hidden="1" customWidth="1"/>
    <col min="47" max="48" width="13.25" hidden="1" customWidth="1"/>
    <col min="49" max="49" width="12" hidden="1" customWidth="1"/>
    <col min="50" max="50" width="9.5" hidden="1" customWidth="1"/>
    <col min="51" max="52" width="12.875" hidden="1" customWidth="1"/>
    <col min="53" max="53" width="10.5" hidden="1" customWidth="1"/>
    <col min="54" max="58" width="11.875" hidden="1" customWidth="1"/>
    <col min="59" max="59" width="12.5" hidden="1" customWidth="1"/>
    <col min="60" max="62" width="9.75" hidden="1" customWidth="1"/>
    <col min="63" max="64" width="7.75" customWidth="1"/>
    <col min="65" max="67" width="8" customWidth="1"/>
  </cols>
  <sheetData>
    <row r="1" spans="1:67" ht="14.25" customHeight="1" x14ac:dyDescent="0.25">
      <c r="A1" s="1" t="s">
        <v>1</v>
      </c>
      <c r="D1" s="99">
        <v>2019</v>
      </c>
      <c r="E1" s="107"/>
      <c r="F1" s="107"/>
      <c r="G1" s="107"/>
      <c r="H1" s="107"/>
      <c r="I1" s="107"/>
      <c r="J1" s="107"/>
      <c r="K1" s="62"/>
      <c r="L1" s="62"/>
      <c r="M1" s="30"/>
      <c r="N1" s="30"/>
      <c r="O1" s="30"/>
      <c r="P1" s="100">
        <v>2018</v>
      </c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8"/>
      <c r="AB1" s="102">
        <v>2017</v>
      </c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8"/>
      <c r="AN1" s="105"/>
      <c r="AO1" s="109"/>
      <c r="AP1" s="31"/>
      <c r="AQ1" s="31"/>
      <c r="AR1" s="31"/>
      <c r="AS1" s="31"/>
      <c r="AT1" s="31"/>
      <c r="AU1" s="86"/>
      <c r="AV1" s="87"/>
      <c r="AW1" s="87"/>
      <c r="AX1" s="87"/>
      <c r="AY1" s="104">
        <v>2015</v>
      </c>
      <c r="AZ1" s="109"/>
      <c r="BA1" s="110"/>
      <c r="BB1" s="86"/>
      <c r="BC1" s="32"/>
      <c r="BD1" s="87"/>
      <c r="BE1" s="87"/>
      <c r="BF1" s="86"/>
      <c r="BG1" s="86"/>
      <c r="BH1" s="86"/>
      <c r="BI1" s="86"/>
      <c r="BJ1" s="87"/>
    </row>
    <row r="2" spans="1:67" ht="14.25" customHeight="1" x14ac:dyDescent="0.25">
      <c r="D2" s="5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14</v>
      </c>
      <c r="J2" s="5" t="s">
        <v>15</v>
      </c>
      <c r="K2" s="5" t="s">
        <v>5</v>
      </c>
      <c r="L2" s="5" t="s">
        <v>16</v>
      </c>
      <c r="M2" s="5" t="s">
        <v>17</v>
      </c>
      <c r="N2" s="5" t="s">
        <v>18</v>
      </c>
      <c r="O2" s="5" t="s">
        <v>19</v>
      </c>
      <c r="P2" s="5" t="s">
        <v>20</v>
      </c>
      <c r="Q2" s="5" t="s">
        <v>21</v>
      </c>
      <c r="R2" s="5" t="s">
        <v>22</v>
      </c>
      <c r="S2" s="5" t="s">
        <v>23</v>
      </c>
      <c r="T2" s="5" t="s">
        <v>24</v>
      </c>
      <c r="U2" s="5" t="s">
        <v>14</v>
      </c>
      <c r="V2" s="5" t="s">
        <v>15</v>
      </c>
      <c r="W2" s="5" t="s">
        <v>5</v>
      </c>
      <c r="X2" s="5" t="s">
        <v>16</v>
      </c>
      <c r="Y2" s="5" t="s">
        <v>17</v>
      </c>
      <c r="Z2" s="5" t="s">
        <v>18</v>
      </c>
      <c r="AA2" s="5" t="s">
        <v>19</v>
      </c>
      <c r="AB2" s="35" t="s">
        <v>20</v>
      </c>
      <c r="AC2" s="35" t="s">
        <v>21</v>
      </c>
      <c r="AD2" s="35" t="s">
        <v>22</v>
      </c>
      <c r="AE2" s="35" t="s">
        <v>23</v>
      </c>
      <c r="AF2" s="35" t="s">
        <v>24</v>
      </c>
      <c r="AG2" s="35" t="s">
        <v>14</v>
      </c>
      <c r="AH2" s="35" t="s">
        <v>15</v>
      </c>
      <c r="AI2" s="35" t="s">
        <v>5</v>
      </c>
      <c r="AJ2" s="35" t="s">
        <v>16</v>
      </c>
      <c r="AK2" s="35" t="s">
        <v>17</v>
      </c>
      <c r="AL2" s="35" t="s">
        <v>18</v>
      </c>
      <c r="AM2" s="35" t="s">
        <v>19</v>
      </c>
      <c r="AN2" s="35" t="s">
        <v>21</v>
      </c>
      <c r="AO2" s="35" t="s">
        <v>22</v>
      </c>
      <c r="AP2" s="35" t="s">
        <v>23</v>
      </c>
      <c r="AQ2" s="35" t="s">
        <v>24</v>
      </c>
      <c r="AR2" s="35" t="s">
        <v>14</v>
      </c>
      <c r="AS2" s="35" t="s">
        <v>15</v>
      </c>
      <c r="AT2" s="35" t="s">
        <v>5</v>
      </c>
      <c r="AU2" s="35" t="s">
        <v>16</v>
      </c>
      <c r="AV2" s="35" t="s">
        <v>17</v>
      </c>
      <c r="AW2" s="35" t="s">
        <v>18</v>
      </c>
      <c r="AX2" s="35" t="s">
        <v>19</v>
      </c>
      <c r="AY2" s="35" t="s">
        <v>20</v>
      </c>
      <c r="AZ2" s="35" t="s">
        <v>21</v>
      </c>
      <c r="BA2" s="35" t="s">
        <v>22</v>
      </c>
      <c r="BB2" s="35" t="s">
        <v>23</v>
      </c>
      <c r="BC2" s="35" t="s">
        <v>24</v>
      </c>
      <c r="BD2" s="35" t="s">
        <v>14</v>
      </c>
      <c r="BE2" s="35" t="s">
        <v>15</v>
      </c>
      <c r="BF2" s="35" t="s">
        <v>5</v>
      </c>
      <c r="BG2" s="35" t="s">
        <v>16</v>
      </c>
      <c r="BH2" s="35" t="s">
        <v>17</v>
      </c>
      <c r="BI2" s="35" t="s">
        <v>18</v>
      </c>
      <c r="BJ2" s="35" t="s">
        <v>19</v>
      </c>
    </row>
    <row r="3" spans="1:67" ht="14.25" customHeight="1" x14ac:dyDescent="0.25">
      <c r="C3" s="1" t="s">
        <v>26</v>
      </c>
      <c r="D3" s="1">
        <v>360</v>
      </c>
      <c r="E3" s="1">
        <v>360</v>
      </c>
      <c r="F3" s="1">
        <v>363</v>
      </c>
      <c r="G3" s="1">
        <v>371</v>
      </c>
      <c r="H3" s="1">
        <v>378</v>
      </c>
      <c r="I3" s="1">
        <v>374</v>
      </c>
      <c r="J3" s="1">
        <v>375</v>
      </c>
      <c r="K3" s="1">
        <v>376</v>
      </c>
      <c r="L3" s="1">
        <v>383</v>
      </c>
      <c r="M3" s="1">
        <v>387</v>
      </c>
      <c r="N3" s="1">
        <v>386</v>
      </c>
      <c r="O3" s="1">
        <v>392</v>
      </c>
      <c r="P3" s="1">
        <v>405</v>
      </c>
      <c r="Q3" s="1">
        <v>407</v>
      </c>
      <c r="R3" s="1">
        <v>399</v>
      </c>
      <c r="S3" s="1">
        <v>396</v>
      </c>
      <c r="T3" s="1">
        <v>396</v>
      </c>
      <c r="U3" s="1">
        <v>397</v>
      </c>
      <c r="V3" s="1">
        <v>400</v>
      </c>
      <c r="W3" s="1">
        <v>395</v>
      </c>
      <c r="X3" s="1">
        <v>387</v>
      </c>
      <c r="Y3" s="1">
        <v>385</v>
      </c>
      <c r="Z3" s="1">
        <v>392</v>
      </c>
      <c r="AA3" s="1">
        <v>397</v>
      </c>
      <c r="AB3" s="1">
        <v>418</v>
      </c>
      <c r="AC3" s="1">
        <v>417</v>
      </c>
      <c r="AD3" s="1">
        <v>421</v>
      </c>
      <c r="AE3" s="1">
        <f>412+14</f>
        <v>426</v>
      </c>
      <c r="AF3" s="1">
        <v>417</v>
      </c>
      <c r="AG3" s="1">
        <v>424</v>
      </c>
      <c r="AH3" s="1">
        <v>424</v>
      </c>
      <c r="AI3" s="1">
        <v>420</v>
      </c>
      <c r="AJ3" s="1">
        <v>420</v>
      </c>
      <c r="AK3" s="1">
        <v>423</v>
      </c>
      <c r="AL3" s="1">
        <f>404+13</f>
        <v>417</v>
      </c>
      <c r="AM3" s="1">
        <v>421</v>
      </c>
      <c r="AN3" s="1">
        <v>451</v>
      </c>
      <c r="AO3" s="1">
        <f>433+13</f>
        <v>446</v>
      </c>
      <c r="AP3" s="1">
        <f>428+13</f>
        <v>441</v>
      </c>
      <c r="AQ3" s="1">
        <v>439</v>
      </c>
      <c r="AR3" s="1">
        <v>431</v>
      </c>
      <c r="AS3" s="1">
        <v>440</v>
      </c>
      <c r="AT3" s="1">
        <v>445</v>
      </c>
      <c r="AU3" s="1">
        <v>441</v>
      </c>
      <c r="AV3" s="1">
        <v>444</v>
      </c>
      <c r="AW3" s="1">
        <v>441</v>
      </c>
      <c r="AX3" s="1">
        <v>449</v>
      </c>
      <c r="AY3" s="1">
        <v>440</v>
      </c>
      <c r="AZ3" s="1">
        <v>438</v>
      </c>
      <c r="BA3" s="1">
        <v>437</v>
      </c>
      <c r="BB3" s="1">
        <v>435</v>
      </c>
      <c r="BC3" s="1">
        <v>433</v>
      </c>
      <c r="BD3" s="1">
        <v>432</v>
      </c>
      <c r="BE3" s="1">
        <v>430</v>
      </c>
      <c r="BF3" s="1">
        <v>428</v>
      </c>
      <c r="BG3" s="1">
        <v>430</v>
      </c>
      <c r="BH3" s="1">
        <v>426</v>
      </c>
      <c r="BI3" s="1">
        <v>428</v>
      </c>
      <c r="BJ3" s="1">
        <v>439</v>
      </c>
    </row>
    <row r="4" spans="1:67" ht="14.25" customHeight="1" x14ac:dyDescent="0.25">
      <c r="C4" s="1" t="s">
        <v>28</v>
      </c>
      <c r="D4" s="23">
        <f>AVERAGE(D3:O3)</f>
        <v>375.41666666666669</v>
      </c>
      <c r="E4" s="23">
        <f>AVERAGE(E3:O3)</f>
        <v>376.81818181818181</v>
      </c>
      <c r="F4" s="23">
        <f>AVERAGE(F3:O3)</f>
        <v>378.5</v>
      </c>
      <c r="G4" s="23">
        <f>AVERAGE(G3:O3)</f>
        <v>380.22222222222223</v>
      </c>
      <c r="H4" s="23">
        <f>AVERAGE(H3:O3)</f>
        <v>381.375</v>
      </c>
      <c r="I4" s="23">
        <f>AVERAGE(I3:O3)</f>
        <v>381.85714285714283</v>
      </c>
      <c r="J4" s="23">
        <f>AVERAGE(J3:O3)</f>
        <v>383.16666666666669</v>
      </c>
      <c r="K4" s="23">
        <f>AVERAGE(K3:O3)</f>
        <v>384.8</v>
      </c>
      <c r="L4" s="23">
        <f>AVERAGE(L3:O3)</f>
        <v>387</v>
      </c>
      <c r="M4" s="23">
        <f>AVERAGE(M3:O3)</f>
        <v>388.33333333333331</v>
      </c>
      <c r="N4" s="23">
        <f>AVERAGE(N3:O3)</f>
        <v>389</v>
      </c>
      <c r="O4" s="23">
        <f>AVERAGE(O3)</f>
        <v>392</v>
      </c>
      <c r="P4" s="23">
        <f>AVERAGE(P3:AA3)</f>
        <v>396.33333333333331</v>
      </c>
      <c r="Q4" s="23">
        <f>AVERAGE(Q3:AA3)</f>
        <v>395.54545454545456</v>
      </c>
      <c r="R4" s="23">
        <f>AVERAGE(R3:AA3)</f>
        <v>394.4</v>
      </c>
      <c r="S4" s="23">
        <f>AVERAGE(S3:AA3)</f>
        <v>393.88888888888891</v>
      </c>
      <c r="T4" s="23">
        <f>AVERAGE(T3:AA3)</f>
        <v>393.625</v>
      </c>
      <c r="U4" s="23">
        <f>AVERAGE(U3:AA3)</f>
        <v>393.28571428571428</v>
      </c>
      <c r="V4" s="23">
        <f>AVERAGE(V3:AA3)</f>
        <v>392.66666666666669</v>
      </c>
      <c r="W4" s="23">
        <f>AVERAGE(W3:AA3)</f>
        <v>391.2</v>
      </c>
      <c r="X4" s="23">
        <f>AVERAGE(X3:AA3)</f>
        <v>390.25</v>
      </c>
      <c r="Y4" s="23">
        <f>AVERAGE(Y3:AA3)</f>
        <v>391.33333333333331</v>
      </c>
      <c r="Z4" s="23">
        <f>AVERAGE(Z3:AA3)</f>
        <v>394.5</v>
      </c>
      <c r="AA4" s="23">
        <f>AVERAGE(AA3)</f>
        <v>397</v>
      </c>
      <c r="AB4" s="23">
        <f>AVERAGE(AB3:AM3)</f>
        <v>420.66666666666669</v>
      </c>
      <c r="AC4" s="23">
        <f>AVERAGE(AC3:AM3)</f>
        <v>420.90909090909093</v>
      </c>
      <c r="AD4" s="23">
        <f>AVERAGE(AD3:AM3)</f>
        <v>421.3</v>
      </c>
      <c r="AE4" s="23">
        <f>AVERAGE(AE3:AM3)</f>
        <v>421.33333333333331</v>
      </c>
      <c r="AF4" s="23">
        <f>AVERAGE(AF3:AM3)</f>
        <v>420.75</v>
      </c>
      <c r="AG4" s="23">
        <f>AVERAGE(AG3:AM3)</f>
        <v>421.28571428571428</v>
      </c>
      <c r="AH4" s="23">
        <f>AVERAGE(AH3:AM3)</f>
        <v>420.83333333333331</v>
      </c>
      <c r="AI4" s="23">
        <f>AVERAGE(AI3:AM3)</f>
        <v>420.2</v>
      </c>
      <c r="AJ4" s="23">
        <f>AVERAGE(AJ3:AM3)</f>
        <v>420.25</v>
      </c>
      <c r="AK4" s="23">
        <f>AVERAGE(AK3:AM3)</f>
        <v>420.33333333333331</v>
      </c>
      <c r="AL4" s="23">
        <f>AVERAGE(AL3:AM3)</f>
        <v>419</v>
      </c>
      <c r="AM4" s="23">
        <f>AVERAGE(AM3)</f>
        <v>421</v>
      </c>
      <c r="AN4" s="23">
        <f>AVERAGE(AN3:AX3)</f>
        <v>442.54545454545456</v>
      </c>
      <c r="AO4" s="23">
        <f>AVERAGE(AO3:AX3)</f>
        <v>441.7</v>
      </c>
      <c r="AP4" s="23">
        <f>AVERAGE(AP3:AX3)</f>
        <v>441.22222222222223</v>
      </c>
      <c r="AQ4" s="23">
        <f>AVERAGE(AQ3:AX3)</f>
        <v>441.25</v>
      </c>
      <c r="AR4" s="23">
        <f>AVERAGE(AR3:AX3)</f>
        <v>441.57142857142856</v>
      </c>
      <c r="AS4" s="23">
        <f>AVERAGE(AS3:AX3)</f>
        <v>443.33333333333331</v>
      </c>
      <c r="AT4" s="23">
        <f>AVERAGE(AT3:AX3)</f>
        <v>444</v>
      </c>
      <c r="AU4" s="23">
        <f>AVERAGE(AU3:AX3)</f>
        <v>443.75</v>
      </c>
      <c r="AV4" s="23">
        <f>AVERAGE(AV3:AX3)</f>
        <v>444.66666666666669</v>
      </c>
      <c r="AW4" s="23">
        <f>AVERAGE(AW3:AX3)</f>
        <v>445</v>
      </c>
      <c r="AX4" s="23">
        <f>+AX3</f>
        <v>449</v>
      </c>
      <c r="AY4" s="23">
        <f>AVERAGE(AZ3:BJ3)</f>
        <v>432.36363636363637</v>
      </c>
      <c r="AZ4" s="23">
        <f>AVERAGE(AZ3:BJ3)</f>
        <v>432.36363636363637</v>
      </c>
      <c r="BA4" s="23">
        <f>AVERAGE(BA3:BJ3)</f>
        <v>431.8</v>
      </c>
      <c r="BB4" s="23">
        <f>AVERAGE(BB3:BJ3)</f>
        <v>431.22222222222223</v>
      </c>
      <c r="BC4" s="23">
        <f>AVERAGE(BC3:BJ3)</f>
        <v>430.75</v>
      </c>
      <c r="BD4" s="23">
        <f>AVERAGE(BD3:BJ3)</f>
        <v>430.42857142857144</v>
      </c>
      <c r="BE4" s="23">
        <f>AVERAGE(BE3:BJ3)</f>
        <v>430.16666666666669</v>
      </c>
      <c r="BF4" s="23">
        <f>AVERAGE(BF3:BJ3)</f>
        <v>430.2</v>
      </c>
      <c r="BG4" s="23">
        <f>AVERAGE(BG3:BJ3)</f>
        <v>430.75</v>
      </c>
      <c r="BH4" s="23">
        <f t="shared" ref="BH4:BI4" si="0">AVERAGE(BH3:BI3)</f>
        <v>427</v>
      </c>
      <c r="BI4" s="23">
        <f t="shared" si="0"/>
        <v>433.5</v>
      </c>
      <c r="BJ4" s="1">
        <f>+BJ3</f>
        <v>439</v>
      </c>
    </row>
    <row r="5" spans="1:67" ht="14.25" customHeight="1" x14ac:dyDescent="0.25">
      <c r="C5" s="1" t="s">
        <v>30</v>
      </c>
      <c r="D5" s="1">
        <v>415</v>
      </c>
      <c r="E5" s="1">
        <v>415</v>
      </c>
      <c r="F5" s="1">
        <v>415</v>
      </c>
      <c r="G5" s="1">
        <v>415</v>
      </c>
      <c r="H5" s="1">
        <v>415</v>
      </c>
      <c r="I5" s="1">
        <v>415</v>
      </c>
      <c r="J5" s="1">
        <v>415</v>
      </c>
      <c r="K5" s="1">
        <v>415</v>
      </c>
      <c r="L5" s="1">
        <v>415</v>
      </c>
      <c r="M5" s="1">
        <v>415</v>
      </c>
      <c r="N5" s="1">
        <v>415</v>
      </c>
      <c r="O5" s="1">
        <v>415</v>
      </c>
      <c r="P5" s="1">
        <v>415</v>
      </c>
      <c r="Q5" s="1">
        <v>415</v>
      </c>
      <c r="R5" s="1">
        <v>415</v>
      </c>
      <c r="S5" s="1">
        <v>415</v>
      </c>
      <c r="T5" s="1">
        <v>415</v>
      </c>
      <c r="U5" s="1">
        <v>415</v>
      </c>
      <c r="V5" s="1">
        <v>415</v>
      </c>
      <c r="W5" s="1">
        <v>415</v>
      </c>
      <c r="X5" s="1">
        <v>415</v>
      </c>
      <c r="Y5" s="1">
        <v>415</v>
      </c>
      <c r="Z5" s="1">
        <v>415</v>
      </c>
      <c r="AA5" s="1">
        <v>415</v>
      </c>
      <c r="AB5" s="1">
        <v>445</v>
      </c>
      <c r="AC5" s="1">
        <v>445</v>
      </c>
      <c r="AD5" s="1">
        <v>445</v>
      </c>
      <c r="AE5" s="1">
        <v>445</v>
      </c>
      <c r="AF5" s="1">
        <v>445</v>
      </c>
      <c r="AG5" s="1">
        <v>445</v>
      </c>
      <c r="AH5" s="1">
        <v>445</v>
      </c>
      <c r="AI5" s="1">
        <v>445</v>
      </c>
      <c r="AJ5" s="1">
        <v>445</v>
      </c>
      <c r="AK5" s="1">
        <v>445</v>
      </c>
      <c r="AL5" s="1">
        <v>445</v>
      </c>
      <c r="AM5" s="1">
        <v>445</v>
      </c>
      <c r="AN5" s="1">
        <v>461</v>
      </c>
      <c r="AO5" s="1">
        <v>461</v>
      </c>
      <c r="AP5" s="1">
        <v>461</v>
      </c>
      <c r="AQ5" s="1">
        <v>461</v>
      </c>
      <c r="AR5" s="1">
        <v>461</v>
      </c>
      <c r="AS5" s="1">
        <v>461</v>
      </c>
      <c r="AT5" s="1">
        <v>461</v>
      </c>
      <c r="AU5" s="1">
        <v>461</v>
      </c>
      <c r="AV5" s="1">
        <v>461</v>
      </c>
      <c r="AW5" s="1">
        <v>461</v>
      </c>
      <c r="AX5" s="1">
        <v>461</v>
      </c>
      <c r="AY5" s="1">
        <v>460</v>
      </c>
      <c r="AZ5" s="1">
        <v>460</v>
      </c>
      <c r="BA5" s="1">
        <v>460</v>
      </c>
      <c r="BB5" s="1">
        <v>460</v>
      </c>
      <c r="BC5" s="1">
        <v>460</v>
      </c>
      <c r="BD5" s="1">
        <v>460</v>
      </c>
      <c r="BE5" s="1">
        <v>460</v>
      </c>
      <c r="BF5" s="1">
        <v>460</v>
      </c>
      <c r="BG5" s="1">
        <v>460</v>
      </c>
      <c r="BH5" s="1">
        <v>460</v>
      </c>
      <c r="BI5" s="1">
        <v>460</v>
      </c>
      <c r="BJ5" s="1">
        <v>460</v>
      </c>
    </row>
    <row r="6" spans="1:67" ht="14.25" customHeight="1" x14ac:dyDescent="0.25">
      <c r="C6" s="1" t="s">
        <v>32</v>
      </c>
      <c r="D6" s="23">
        <f t="shared" ref="D6:BJ6" si="1">+D4-D5</f>
        <v>-39.583333333333314</v>
      </c>
      <c r="E6" s="23">
        <f t="shared" si="1"/>
        <v>-38.181818181818187</v>
      </c>
      <c r="F6" s="23">
        <f t="shared" si="1"/>
        <v>-36.5</v>
      </c>
      <c r="G6" s="23">
        <f t="shared" si="1"/>
        <v>-34.777777777777771</v>
      </c>
      <c r="H6" s="23">
        <f t="shared" si="1"/>
        <v>-33.625</v>
      </c>
      <c r="I6" s="23">
        <f t="shared" si="1"/>
        <v>-33.142857142857167</v>
      </c>
      <c r="J6" s="23">
        <f t="shared" si="1"/>
        <v>-31.833333333333314</v>
      </c>
      <c r="K6" s="23">
        <f t="shared" si="1"/>
        <v>-30.199999999999989</v>
      </c>
      <c r="L6" s="23">
        <f t="shared" si="1"/>
        <v>-28</v>
      </c>
      <c r="M6" s="23">
        <f t="shared" si="1"/>
        <v>-26.666666666666686</v>
      </c>
      <c r="N6" s="23">
        <f t="shared" si="1"/>
        <v>-26</v>
      </c>
      <c r="O6" s="23">
        <f t="shared" si="1"/>
        <v>-23</v>
      </c>
      <c r="P6" s="23">
        <f t="shared" si="1"/>
        <v>-18.666666666666686</v>
      </c>
      <c r="Q6" s="23">
        <f t="shared" si="1"/>
        <v>-19.454545454545439</v>
      </c>
      <c r="R6" s="23">
        <f t="shared" si="1"/>
        <v>-20.600000000000023</v>
      </c>
      <c r="S6" s="23">
        <f t="shared" si="1"/>
        <v>-21.111111111111086</v>
      </c>
      <c r="T6" s="23">
        <f t="shared" si="1"/>
        <v>-21.375</v>
      </c>
      <c r="U6" s="23">
        <f t="shared" si="1"/>
        <v>-21.714285714285722</v>
      </c>
      <c r="V6" s="23">
        <f t="shared" si="1"/>
        <v>-22.333333333333314</v>
      </c>
      <c r="W6" s="23">
        <f t="shared" si="1"/>
        <v>-23.800000000000011</v>
      </c>
      <c r="X6" s="23">
        <f t="shared" si="1"/>
        <v>-24.75</v>
      </c>
      <c r="Y6" s="23">
        <f t="shared" si="1"/>
        <v>-23.666666666666686</v>
      </c>
      <c r="Z6" s="23">
        <f t="shared" si="1"/>
        <v>-20.5</v>
      </c>
      <c r="AA6" s="23">
        <f t="shared" si="1"/>
        <v>-18</v>
      </c>
      <c r="AB6" s="23">
        <f t="shared" si="1"/>
        <v>-24.333333333333314</v>
      </c>
      <c r="AC6" s="23">
        <f t="shared" si="1"/>
        <v>-24.090909090909065</v>
      </c>
      <c r="AD6" s="23">
        <f t="shared" si="1"/>
        <v>-23.699999999999989</v>
      </c>
      <c r="AE6" s="23">
        <f t="shared" si="1"/>
        <v>-23.666666666666686</v>
      </c>
      <c r="AF6" s="23">
        <f t="shared" si="1"/>
        <v>-24.25</v>
      </c>
      <c r="AG6" s="23">
        <f t="shared" si="1"/>
        <v>-23.714285714285722</v>
      </c>
      <c r="AH6" s="23">
        <f t="shared" si="1"/>
        <v>-24.166666666666686</v>
      </c>
      <c r="AI6" s="23">
        <f t="shared" si="1"/>
        <v>-24.800000000000011</v>
      </c>
      <c r="AJ6" s="23">
        <f t="shared" si="1"/>
        <v>-24.75</v>
      </c>
      <c r="AK6" s="23">
        <f t="shared" si="1"/>
        <v>-24.666666666666686</v>
      </c>
      <c r="AL6" s="23">
        <f t="shared" si="1"/>
        <v>-26</v>
      </c>
      <c r="AM6" s="23">
        <f t="shared" si="1"/>
        <v>-24</v>
      </c>
      <c r="AN6" s="23">
        <f t="shared" si="1"/>
        <v>-18.454545454545439</v>
      </c>
      <c r="AO6" s="23">
        <f t="shared" si="1"/>
        <v>-19.300000000000011</v>
      </c>
      <c r="AP6" s="23">
        <f t="shared" si="1"/>
        <v>-19.777777777777771</v>
      </c>
      <c r="AQ6" s="23">
        <f t="shared" si="1"/>
        <v>-19.75</v>
      </c>
      <c r="AR6" s="23">
        <f t="shared" si="1"/>
        <v>-19.428571428571445</v>
      </c>
      <c r="AS6" s="23">
        <f t="shared" si="1"/>
        <v>-17.666666666666686</v>
      </c>
      <c r="AT6" s="23">
        <f t="shared" si="1"/>
        <v>-17</v>
      </c>
      <c r="AU6" s="23">
        <f t="shared" si="1"/>
        <v>-17.25</v>
      </c>
      <c r="AV6" s="23">
        <f t="shared" si="1"/>
        <v>-16.333333333333314</v>
      </c>
      <c r="AW6" s="23">
        <f t="shared" si="1"/>
        <v>-16</v>
      </c>
      <c r="AX6" s="23">
        <f t="shared" si="1"/>
        <v>-12</v>
      </c>
      <c r="AY6" s="23">
        <f t="shared" si="1"/>
        <v>-27.636363636363626</v>
      </c>
      <c r="AZ6" s="23">
        <f t="shared" si="1"/>
        <v>-27.636363636363626</v>
      </c>
      <c r="BA6" s="23">
        <f t="shared" si="1"/>
        <v>-28.199999999999989</v>
      </c>
      <c r="BB6" s="23">
        <f t="shared" si="1"/>
        <v>-28.777777777777771</v>
      </c>
      <c r="BC6" s="23">
        <f t="shared" si="1"/>
        <v>-29.25</v>
      </c>
      <c r="BD6" s="23">
        <f t="shared" si="1"/>
        <v>-29.571428571428555</v>
      </c>
      <c r="BE6" s="23">
        <f t="shared" si="1"/>
        <v>-29.833333333333314</v>
      </c>
      <c r="BF6" s="23">
        <f t="shared" si="1"/>
        <v>-29.800000000000011</v>
      </c>
      <c r="BG6" s="23">
        <f t="shared" si="1"/>
        <v>-29.25</v>
      </c>
      <c r="BH6" s="23">
        <f t="shared" si="1"/>
        <v>-33</v>
      </c>
      <c r="BI6" s="23">
        <f t="shared" si="1"/>
        <v>-26.5</v>
      </c>
      <c r="BJ6" s="23">
        <f t="shared" si="1"/>
        <v>-21</v>
      </c>
    </row>
    <row r="7" spans="1:67" ht="14.25" customHeight="1" x14ac:dyDescent="0.25">
      <c r="C7" s="1" t="s">
        <v>34</v>
      </c>
      <c r="D7" s="24">
        <f t="shared" ref="D7:O7" si="2">+D6*192</f>
        <v>-7599.9999999999964</v>
      </c>
      <c r="E7" s="24">
        <f t="shared" si="2"/>
        <v>-7330.9090909090919</v>
      </c>
      <c r="F7" s="24">
        <f t="shared" si="2"/>
        <v>-7008</v>
      </c>
      <c r="G7" s="24">
        <f t="shared" si="2"/>
        <v>-6677.3333333333321</v>
      </c>
      <c r="H7" s="24">
        <f t="shared" si="2"/>
        <v>-6456</v>
      </c>
      <c r="I7" s="24">
        <f t="shared" si="2"/>
        <v>-6363.4285714285761</v>
      </c>
      <c r="J7" s="24">
        <f t="shared" si="2"/>
        <v>-6111.9999999999964</v>
      </c>
      <c r="K7" s="24">
        <f t="shared" si="2"/>
        <v>-5798.3999999999978</v>
      </c>
      <c r="L7" s="24">
        <f t="shared" si="2"/>
        <v>-5376</v>
      </c>
      <c r="M7" s="24">
        <f t="shared" si="2"/>
        <v>-5120.0000000000036</v>
      </c>
      <c r="N7" s="24">
        <f t="shared" si="2"/>
        <v>-4992</v>
      </c>
      <c r="O7" s="24">
        <f t="shared" si="2"/>
        <v>-4416</v>
      </c>
      <c r="P7" s="24">
        <f t="shared" ref="P7:BJ7" si="3">+P6*168</f>
        <v>-3136.0000000000032</v>
      </c>
      <c r="Q7" s="24">
        <f t="shared" si="3"/>
        <v>-3268.3636363636338</v>
      </c>
      <c r="R7" s="24">
        <f t="shared" si="3"/>
        <v>-3460.8000000000038</v>
      </c>
      <c r="S7" s="24">
        <f t="shared" si="3"/>
        <v>-3546.6666666666624</v>
      </c>
      <c r="T7" s="24">
        <f t="shared" si="3"/>
        <v>-3591</v>
      </c>
      <c r="U7" s="24">
        <f t="shared" si="3"/>
        <v>-3648.0000000000014</v>
      </c>
      <c r="V7" s="24">
        <f t="shared" si="3"/>
        <v>-3751.9999999999968</v>
      </c>
      <c r="W7" s="24">
        <f t="shared" si="3"/>
        <v>-3998.4000000000019</v>
      </c>
      <c r="X7" s="24">
        <f t="shared" si="3"/>
        <v>-4158</v>
      </c>
      <c r="Y7" s="24">
        <f t="shared" si="3"/>
        <v>-3976.0000000000032</v>
      </c>
      <c r="Z7" s="24">
        <f t="shared" si="3"/>
        <v>-3444</v>
      </c>
      <c r="AA7" s="24">
        <f t="shared" si="3"/>
        <v>-3024</v>
      </c>
      <c r="AB7" s="24">
        <f t="shared" si="3"/>
        <v>-4087.9999999999968</v>
      </c>
      <c r="AC7" s="24">
        <f t="shared" si="3"/>
        <v>-4047.2727272727229</v>
      </c>
      <c r="AD7" s="24">
        <f t="shared" si="3"/>
        <v>-3981.5999999999981</v>
      </c>
      <c r="AE7" s="24">
        <f t="shared" si="3"/>
        <v>-3976.0000000000032</v>
      </c>
      <c r="AF7" s="24">
        <f t="shared" si="3"/>
        <v>-4074</v>
      </c>
      <c r="AG7" s="24">
        <f t="shared" si="3"/>
        <v>-3984.0000000000014</v>
      </c>
      <c r="AH7" s="24">
        <f t="shared" si="3"/>
        <v>-4060.0000000000032</v>
      </c>
      <c r="AI7" s="24">
        <f t="shared" si="3"/>
        <v>-4166.4000000000015</v>
      </c>
      <c r="AJ7" s="24">
        <f t="shared" si="3"/>
        <v>-4158</v>
      </c>
      <c r="AK7" s="24">
        <f t="shared" si="3"/>
        <v>-4144.0000000000036</v>
      </c>
      <c r="AL7" s="24">
        <f t="shared" si="3"/>
        <v>-4368</v>
      </c>
      <c r="AM7" s="24">
        <f t="shared" si="3"/>
        <v>-4032</v>
      </c>
      <c r="AN7" s="24">
        <f t="shared" si="3"/>
        <v>-3100.3636363636338</v>
      </c>
      <c r="AO7" s="24">
        <f t="shared" si="3"/>
        <v>-3242.4000000000019</v>
      </c>
      <c r="AP7" s="24">
        <f t="shared" si="3"/>
        <v>-3322.6666666666656</v>
      </c>
      <c r="AQ7" s="24">
        <f t="shared" si="3"/>
        <v>-3318</v>
      </c>
      <c r="AR7" s="24">
        <f t="shared" si="3"/>
        <v>-3264.0000000000027</v>
      </c>
      <c r="AS7" s="24">
        <f t="shared" si="3"/>
        <v>-2968.0000000000032</v>
      </c>
      <c r="AT7" s="24">
        <f t="shared" si="3"/>
        <v>-2856</v>
      </c>
      <c r="AU7" s="24">
        <f t="shared" si="3"/>
        <v>-2898</v>
      </c>
      <c r="AV7" s="24">
        <f t="shared" si="3"/>
        <v>-2743.9999999999968</v>
      </c>
      <c r="AW7" s="24">
        <f t="shared" si="3"/>
        <v>-2688</v>
      </c>
      <c r="AX7" s="24">
        <f t="shared" si="3"/>
        <v>-2016</v>
      </c>
      <c r="AY7" s="24">
        <f t="shared" si="3"/>
        <v>-4642.9090909090892</v>
      </c>
      <c r="AZ7" s="24">
        <f t="shared" si="3"/>
        <v>-4642.9090909090892</v>
      </c>
      <c r="BA7" s="24">
        <f t="shared" si="3"/>
        <v>-4737.5999999999985</v>
      </c>
      <c r="BB7" s="24">
        <f t="shared" si="3"/>
        <v>-4834.6666666666661</v>
      </c>
      <c r="BC7" s="24">
        <f t="shared" si="3"/>
        <v>-4914</v>
      </c>
      <c r="BD7" s="24">
        <f t="shared" si="3"/>
        <v>-4967.9999999999973</v>
      </c>
      <c r="BE7" s="24">
        <f t="shared" si="3"/>
        <v>-5011.9999999999964</v>
      </c>
      <c r="BF7" s="24">
        <f t="shared" si="3"/>
        <v>-5006.4000000000015</v>
      </c>
      <c r="BG7" s="24">
        <f t="shared" si="3"/>
        <v>-4914</v>
      </c>
      <c r="BH7" s="24">
        <f t="shared" si="3"/>
        <v>-5544</v>
      </c>
      <c r="BI7" s="24">
        <f t="shared" si="3"/>
        <v>-4452</v>
      </c>
      <c r="BJ7" s="24">
        <f t="shared" si="3"/>
        <v>-3528</v>
      </c>
    </row>
    <row r="8" spans="1:67" ht="14.25" customHeight="1" x14ac:dyDescent="0.2"/>
    <row r="9" spans="1:67" ht="14.25" customHeight="1" x14ac:dyDescent="0.25">
      <c r="C9" s="1" t="s">
        <v>36</v>
      </c>
      <c r="D9" s="25">
        <f>(137306.14-67877.92-20200-30214)</f>
        <v>19014.220000000016</v>
      </c>
      <c r="E9" s="25">
        <f>(136448.28-67877.92-20200-30114)</f>
        <v>18256.36</v>
      </c>
      <c r="F9" s="25">
        <f>(134507.89-67669.92-20125-30114)</f>
        <v>16598.970000000016</v>
      </c>
      <c r="G9" s="25">
        <f>(132419.84-67269.92-20000-30114)</f>
        <v>15035.919999999998</v>
      </c>
      <c r="H9" s="25">
        <f>(130087.57-66753.17-19687.5-30114)</f>
        <v>13532.900000000009</v>
      </c>
      <c r="I9" s="25">
        <f>(127052.36-65745.17-19381.63-30114)</f>
        <v>11811.559999999998</v>
      </c>
      <c r="J9" s="25">
        <f>(123915.64-30114-18875-64465.17)</f>
        <v>10461.470000000001</v>
      </c>
      <c r="K9" s="25">
        <f>(119400.68-30114-17675-62689.17)</f>
        <v>8922.5099999999948</v>
      </c>
      <c r="L9" s="25">
        <f>(115089.98-30114-16637.5-60369.17)</f>
        <v>7969.3099999999977</v>
      </c>
      <c r="M9" s="25">
        <f>(104401.99-24697-15950-57627.17)</f>
        <v>6127.820000000007</v>
      </c>
      <c r="N9" s="25">
        <f>(77385.8-5317-14845.47-52892.33)</f>
        <v>4331</v>
      </c>
      <c r="O9" s="25">
        <f>(62340.33-13675-46824.33)</f>
        <v>1841</v>
      </c>
      <c r="P9" s="25">
        <f>(154801.49-68573.91-39133-19800)</f>
        <v>27294.579999999987</v>
      </c>
      <c r="Q9" s="25">
        <f>(153315.22-68538.91-39133-19950)</f>
        <v>25693.309999999998</v>
      </c>
      <c r="R9" s="25">
        <f>(151296.12-68272.91-39133-19762.5)</f>
        <v>24127.709999999992</v>
      </c>
      <c r="S9" s="25">
        <f>(147112.31-67824.91-39133-19550)</f>
        <v>20604.399999999994</v>
      </c>
      <c r="T9" s="25">
        <f>(142407.77-39133-66893.91-19387.5)</f>
        <v>16993.359999999986</v>
      </c>
      <c r="U9" s="25">
        <f>(139856.59-39133-66263.91-19062.5)</f>
        <v>15397.179999999993</v>
      </c>
      <c r="V9" s="25">
        <f>(136007.43-39133-64842.16-18587.5)</f>
        <v>13444.76999999999</v>
      </c>
      <c r="W9" s="25">
        <f>(131771.28-63099-39133-17437.5)</f>
        <v>12101.779999999999</v>
      </c>
      <c r="X9" s="25">
        <f>(125494.11-39091-60656.16-16737.5)</f>
        <v>9009.4499999999971</v>
      </c>
      <c r="Y9" s="25">
        <f>(111292.57-57086.5-15950-31766)</f>
        <v>6490.070000000007</v>
      </c>
      <c r="Z9" s="25">
        <f>(80242.26-8204-15400-52420.59)</f>
        <v>4217.6699999999983</v>
      </c>
      <c r="AA9" s="25">
        <f>(64009.71-13787.5-47447.59)</f>
        <v>2774.6200000000026</v>
      </c>
      <c r="AB9" s="53">
        <v>31472.04</v>
      </c>
      <c r="AC9" s="53">
        <v>30311.14</v>
      </c>
      <c r="AD9" s="53">
        <v>28557.37</v>
      </c>
      <c r="AE9" s="53">
        <v>27103.56</v>
      </c>
      <c r="AF9" s="53">
        <v>24629.8</v>
      </c>
      <c r="AG9" s="48">
        <f>152288.03-70003.48-19432.5-39847</f>
        <v>23005.050000000003</v>
      </c>
      <c r="AH9" s="48">
        <f>147875.59-39847-68561.48-18545</f>
        <v>20922.11</v>
      </c>
      <c r="AI9" s="48">
        <f>137852.19-67063.48-17420-36040</f>
        <v>17328.710000000006</v>
      </c>
      <c r="AJ9" s="48">
        <f>127375.56-29573-65297.23-17057.5</f>
        <v>15447.829999999994</v>
      </c>
      <c r="AK9" s="48">
        <f>100592.34-62570.56-16307.5-8244</f>
        <v>13470.279999999999</v>
      </c>
      <c r="AL9" s="48">
        <f>80791.57-56664.15-15745</f>
        <v>8382.4200000000055</v>
      </c>
      <c r="AM9" s="48">
        <f>70654.5-14395-50670.65</f>
        <v>5588.8499999999985</v>
      </c>
      <c r="AN9" s="48">
        <f>186541.69-50742-73758.84-21200</f>
        <v>40840.850000000006</v>
      </c>
      <c r="AO9" s="48">
        <f>179593.44-50742-73555.84-21187.5</f>
        <v>34108.100000000006</v>
      </c>
      <c r="AP9" s="48">
        <f>168214.77-73037.84-21062.5-50742</f>
        <v>23372.429999999993</v>
      </c>
      <c r="AQ9" s="48">
        <f>165275.02-50742-72421.84-20762.5</f>
        <v>21348.679999999993</v>
      </c>
      <c r="AR9" s="48">
        <f>161997.84-50677-20625-71189.84</f>
        <v>19506</v>
      </c>
      <c r="AS9" s="48">
        <f>158489.58-50677-69999.84-19787.5</f>
        <v>18025.239999999991</v>
      </c>
      <c r="AT9" s="48">
        <f>152773.52-18587.5-68899.94-49811</f>
        <v>15475.079999999987</v>
      </c>
      <c r="AU9" s="48">
        <f>142850.75-43480-66953.84-18050</f>
        <v>14366.910000000003</v>
      </c>
      <c r="AV9" s="48">
        <f>117858.96-25433-64007.84-17262.5</f>
        <v>11155.62000000001</v>
      </c>
      <c r="AW9" s="48">
        <f>103380.46-19355-60530.17-16575</f>
        <v>6920.2900000000081</v>
      </c>
      <c r="AX9" s="48">
        <f>91409.49-17515-53484.25-14875</f>
        <v>5535.2400000000052</v>
      </c>
      <c r="BO9" s="1" t="s">
        <v>37</v>
      </c>
    </row>
    <row r="10" spans="1:67" ht="14.25" customHeight="1" x14ac:dyDescent="0.25">
      <c r="C10" s="1" t="s">
        <v>58</v>
      </c>
      <c r="D10" s="26">
        <f>(173742-84165-20000-44486)/12*12</f>
        <v>25091</v>
      </c>
      <c r="E10" s="26">
        <f>(173742-84165-20000-44486)/12*11</f>
        <v>23000.083333333332</v>
      </c>
      <c r="F10" s="26">
        <f>(173742-84165-20000-44486)/12*10</f>
        <v>20909.166666666664</v>
      </c>
      <c r="G10" s="26">
        <f>(173742-84165-20000-44486)/12*9</f>
        <v>18818.25</v>
      </c>
      <c r="H10" s="26">
        <f>(173742-84165-20000-44486)/12*8</f>
        <v>16727.333333333332</v>
      </c>
      <c r="I10" s="26">
        <f>(173742-84165-20000-44486)/12*7</f>
        <v>14636.416666666666</v>
      </c>
      <c r="J10" s="26">
        <f>(173742-84165-20000-44486)/12*6</f>
        <v>12545.5</v>
      </c>
      <c r="K10" s="26">
        <f>(173742-84165-20000-44486)/12*5</f>
        <v>10454.583333333332</v>
      </c>
      <c r="L10" s="26">
        <f>(173742-84165-20000-44486)/12*4</f>
        <v>8363.6666666666661</v>
      </c>
      <c r="M10" s="26">
        <f>(173742-84165-20000-44486)/12*3</f>
        <v>6272.75</v>
      </c>
      <c r="N10" s="26">
        <f>(173742-84165-20000-44486)/12*2</f>
        <v>4181.833333333333</v>
      </c>
      <c r="O10" s="26">
        <f>(173742-84165-20000-44486)/12*1</f>
        <v>2090.9166666666665</v>
      </c>
      <c r="P10" s="26">
        <f>(161708-73902-42162-20000)/12*12</f>
        <v>25644</v>
      </c>
      <c r="Q10" s="26">
        <f>(161708-73902-42162-20000)/12*11</f>
        <v>23507</v>
      </c>
      <c r="R10" s="26">
        <f>(161708-73902-42162-20000)/12*10</f>
        <v>21370</v>
      </c>
      <c r="S10" s="26">
        <f>(161708-73902-42162-20000)/12*9</f>
        <v>19233</v>
      </c>
      <c r="T10" s="26">
        <f>(161708-73902-42162-20000)/12*8</f>
        <v>17096</v>
      </c>
      <c r="U10" s="26">
        <f>(161708-73902-42162-20000)/12*7</f>
        <v>14959</v>
      </c>
      <c r="V10" s="26">
        <f>(161708-73902-42162-20000)/12*6</f>
        <v>12822</v>
      </c>
      <c r="W10" s="26">
        <f>(161708-73902-42162-20000)/12*5</f>
        <v>10685</v>
      </c>
      <c r="X10" s="26">
        <f>(161708-73902-42162-20000)/12*4</f>
        <v>8548</v>
      </c>
      <c r="Y10" s="26">
        <f>(161708-73902-42162-20000)/12*3</f>
        <v>6411</v>
      </c>
      <c r="Z10" s="26">
        <f>(161708-73902-42162-20000)/12*2</f>
        <v>4274</v>
      </c>
      <c r="AA10" s="26">
        <f>(161708-73902-42162-20000)/12*1</f>
        <v>2137</v>
      </c>
      <c r="AB10" s="53">
        <f>(174743-45101-78942-20000)/12*12</f>
        <v>30700</v>
      </c>
      <c r="AC10" s="53">
        <f>(174743-45101-78942-20000)/12*11</f>
        <v>28141.666666666668</v>
      </c>
      <c r="AD10" s="53">
        <f>(174743-45101-78942-20000)/12*10</f>
        <v>25583.333333333336</v>
      </c>
      <c r="AE10" s="53">
        <f>(174743-45101-78942-20000)/12*9</f>
        <v>23025</v>
      </c>
      <c r="AF10" s="53">
        <f>(174743-45101-78942-20000)/12*8</f>
        <v>20466.666666666668</v>
      </c>
      <c r="AG10" s="48">
        <f>(174743-45101-78942-20000)/12*7</f>
        <v>17908.333333333336</v>
      </c>
      <c r="AH10" s="48">
        <f>(174743-45101-78942-20000)/12*6</f>
        <v>15350</v>
      </c>
      <c r="AI10" s="48">
        <f>(174743-45101-78942-20000)/12*5</f>
        <v>12791.666666666668</v>
      </c>
      <c r="AJ10" s="48">
        <f>(174743-45101-78942-20000)/12*4</f>
        <v>10233.333333333334</v>
      </c>
      <c r="AK10" s="48">
        <f>(174743-45101-78942-20000)/12*3</f>
        <v>7675</v>
      </c>
      <c r="AL10" s="48">
        <f>(174743-45101-78942-20000)/12*2</f>
        <v>5116.666666666667</v>
      </c>
      <c r="AM10" s="48">
        <f>(174743-45101-78942-20000)/12</f>
        <v>2558.3333333333335</v>
      </c>
      <c r="AN10" s="48">
        <f>(58217-18000)/12*11</f>
        <v>36865.583333333328</v>
      </c>
      <c r="AO10" s="48">
        <f>(58217-18000)/12*10</f>
        <v>33514.166666666664</v>
      </c>
      <c r="AP10" s="48">
        <f>(58217-18000)/12*9</f>
        <v>30162.75</v>
      </c>
      <c r="AQ10" s="48">
        <f>(58217-18000)/12*8</f>
        <v>26811.333333333332</v>
      </c>
      <c r="AR10" s="48">
        <f>(58217-18000)/12*7</f>
        <v>23459.916666666664</v>
      </c>
      <c r="AS10" s="48">
        <f>(58217-18000)/12*6</f>
        <v>20108.5</v>
      </c>
      <c r="AT10" s="48">
        <f>(58217-18000)/12*5</f>
        <v>16757.083333333332</v>
      </c>
      <c r="AU10" s="48">
        <f>(58217-18000)/12*4</f>
        <v>13405.666666666666</v>
      </c>
      <c r="AV10" s="48">
        <f>(58217-18000)/12*3</f>
        <v>10054.25</v>
      </c>
      <c r="AW10" s="48">
        <f>(58217-18000)/12*2</f>
        <v>6702.833333333333</v>
      </c>
      <c r="AX10" s="48">
        <f>(58217-18000)/12</f>
        <v>3351.4166666666665</v>
      </c>
    </row>
    <row r="11" spans="1:67" ht="14.25" customHeight="1" x14ac:dyDescent="0.25">
      <c r="C11" s="1" t="s">
        <v>40</v>
      </c>
      <c r="D11" s="24">
        <f t="shared" ref="D11:AX11" si="4">+D9-D10</f>
        <v>-6076.7799999999843</v>
      </c>
      <c r="E11" s="24">
        <f t="shared" si="4"/>
        <v>-4743.7233333333315</v>
      </c>
      <c r="F11" s="24">
        <f t="shared" si="4"/>
        <v>-4310.1966666666485</v>
      </c>
      <c r="G11" s="24">
        <f t="shared" si="4"/>
        <v>-3782.3300000000017</v>
      </c>
      <c r="H11" s="24">
        <f t="shared" si="4"/>
        <v>-3194.4333333333234</v>
      </c>
      <c r="I11" s="24">
        <f t="shared" si="4"/>
        <v>-2824.8566666666684</v>
      </c>
      <c r="J11" s="24">
        <f t="shared" si="4"/>
        <v>-2084.0299999999988</v>
      </c>
      <c r="K11" s="24">
        <f t="shared" si="4"/>
        <v>-1532.0733333333374</v>
      </c>
      <c r="L11" s="24">
        <f t="shared" si="4"/>
        <v>-394.35666666666839</v>
      </c>
      <c r="M11" s="24">
        <f t="shared" si="4"/>
        <v>-144.92999999999302</v>
      </c>
      <c r="N11" s="24">
        <f t="shared" si="4"/>
        <v>149.16666666666697</v>
      </c>
      <c r="O11" s="24">
        <f t="shared" si="4"/>
        <v>-249.91666666666652</v>
      </c>
      <c r="P11" s="24">
        <f t="shared" si="4"/>
        <v>1650.5799999999872</v>
      </c>
      <c r="Q11" s="24">
        <f t="shared" si="4"/>
        <v>2186.3099999999977</v>
      </c>
      <c r="R11" s="24">
        <f t="shared" si="4"/>
        <v>2757.7099999999919</v>
      </c>
      <c r="S11" s="24">
        <f t="shared" si="4"/>
        <v>1371.3999999999942</v>
      </c>
      <c r="T11" s="24">
        <f t="shared" si="4"/>
        <v>-102.64000000001397</v>
      </c>
      <c r="U11" s="24">
        <f t="shared" si="4"/>
        <v>438.17999999999302</v>
      </c>
      <c r="V11" s="24">
        <f t="shared" si="4"/>
        <v>622.76999999998952</v>
      </c>
      <c r="W11" s="24">
        <f t="shared" si="4"/>
        <v>1416.7799999999988</v>
      </c>
      <c r="X11" s="24">
        <f t="shared" si="4"/>
        <v>461.44999999999709</v>
      </c>
      <c r="Y11" s="24">
        <f t="shared" si="4"/>
        <v>79.070000000006985</v>
      </c>
      <c r="Z11" s="24">
        <f t="shared" si="4"/>
        <v>-56.330000000001746</v>
      </c>
      <c r="AA11" s="24">
        <f t="shared" si="4"/>
        <v>637.62000000000262</v>
      </c>
      <c r="AB11" s="24">
        <f t="shared" si="4"/>
        <v>772.04000000000087</v>
      </c>
      <c r="AC11" s="24">
        <f t="shared" si="4"/>
        <v>2169.4733333333315</v>
      </c>
      <c r="AD11" s="24">
        <f t="shared" si="4"/>
        <v>2974.0366666666632</v>
      </c>
      <c r="AE11" s="24">
        <f t="shared" si="4"/>
        <v>4078.5600000000013</v>
      </c>
      <c r="AF11" s="24">
        <f t="shared" si="4"/>
        <v>4163.1333333333314</v>
      </c>
      <c r="AG11" s="24">
        <f t="shared" si="4"/>
        <v>5096.7166666666672</v>
      </c>
      <c r="AH11" s="24">
        <f t="shared" si="4"/>
        <v>5572.1100000000006</v>
      </c>
      <c r="AI11" s="24">
        <f t="shared" si="4"/>
        <v>4537.0433333333385</v>
      </c>
      <c r="AJ11" s="24">
        <f t="shared" si="4"/>
        <v>5214.4966666666605</v>
      </c>
      <c r="AK11" s="24">
        <f t="shared" si="4"/>
        <v>5795.2799999999988</v>
      </c>
      <c r="AL11" s="24">
        <f t="shared" si="4"/>
        <v>3265.7533333333386</v>
      </c>
      <c r="AM11" s="24">
        <f t="shared" si="4"/>
        <v>3030.5166666666651</v>
      </c>
      <c r="AN11" s="24">
        <f t="shared" si="4"/>
        <v>3975.2666666666773</v>
      </c>
      <c r="AO11" s="24">
        <f t="shared" si="4"/>
        <v>593.93333333334158</v>
      </c>
      <c r="AP11" s="24">
        <f t="shared" si="4"/>
        <v>-6790.320000000007</v>
      </c>
      <c r="AQ11" s="24">
        <f t="shared" si="4"/>
        <v>-5462.6533333333391</v>
      </c>
      <c r="AR11" s="24">
        <f t="shared" si="4"/>
        <v>-3953.9166666666642</v>
      </c>
      <c r="AS11" s="24">
        <f t="shared" si="4"/>
        <v>-2083.2600000000093</v>
      </c>
      <c r="AT11" s="24">
        <f t="shared" si="4"/>
        <v>-1282.0033333333449</v>
      </c>
      <c r="AU11" s="24">
        <f t="shared" si="4"/>
        <v>961.24333333333743</v>
      </c>
      <c r="AV11" s="24">
        <f t="shared" si="4"/>
        <v>1101.3700000000099</v>
      </c>
      <c r="AW11" s="24">
        <f t="shared" si="4"/>
        <v>217.45666666667512</v>
      </c>
      <c r="AX11" s="24">
        <f t="shared" si="4"/>
        <v>2183.8233333333387</v>
      </c>
    </row>
    <row r="12" spans="1:67" ht="14.25" customHeight="1" x14ac:dyDescent="0.25"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</row>
    <row r="13" spans="1:67" ht="14.25" customHeight="1" x14ac:dyDescent="0.25">
      <c r="C13" s="1" t="s">
        <v>42</v>
      </c>
      <c r="D13" s="26">
        <f>(150305.91-28054.87)</f>
        <v>122251.04000000001</v>
      </c>
      <c r="E13" s="26">
        <f>(138221.17-28054.87)</f>
        <v>110166.30000000002</v>
      </c>
      <c r="F13" s="26">
        <f>(128034.77-28054.87)</f>
        <v>99979.900000000009</v>
      </c>
      <c r="G13" s="26">
        <f>(118919.15-28054.87)</f>
        <v>90864.28</v>
      </c>
      <c r="H13" s="26">
        <f>(108842.82-28054.87)</f>
        <v>80787.950000000012</v>
      </c>
      <c r="I13" s="26">
        <f>(99979.98-28054.87)</f>
        <v>71925.11</v>
      </c>
      <c r="J13" s="26">
        <f>(86616.98-28054.87)</f>
        <v>58562.11</v>
      </c>
      <c r="K13" s="26">
        <f>(77238.59-27981.04)</f>
        <v>49257.549999999996</v>
      </c>
      <c r="L13" s="26">
        <f>(51279.97-11709.7)</f>
        <v>39570.270000000004</v>
      </c>
      <c r="M13" s="26">
        <f>(30585.44-1135.78)</f>
        <v>29449.66</v>
      </c>
      <c r="N13" s="26">
        <f>(21028.39-150)</f>
        <v>20878.39</v>
      </c>
      <c r="O13" s="26">
        <v>11098.15</v>
      </c>
      <c r="P13" s="26">
        <f>(135067.49-23755.84)</f>
        <v>111311.65</v>
      </c>
      <c r="Q13" s="26">
        <f>(125182.71-23755.84)</f>
        <v>101426.87000000001</v>
      </c>
      <c r="R13" s="26">
        <f>(116596.59-23755.84)</f>
        <v>92840.75</v>
      </c>
      <c r="S13" s="26">
        <f>(106649.09-23755.84)</f>
        <v>82893.25</v>
      </c>
      <c r="T13" s="26">
        <f>(96846.84-23755.84)</f>
        <v>73091</v>
      </c>
      <c r="U13" s="26">
        <f>(88425.34-23755.84)</f>
        <v>64669.5</v>
      </c>
      <c r="V13" s="26">
        <f>(77233.86-23755.84)</f>
        <v>53478.020000000004</v>
      </c>
      <c r="W13" s="26">
        <f>(53834.91-8057.02)</f>
        <v>45777.89</v>
      </c>
      <c r="X13" s="26">
        <f>(44391.49-7344.94)</f>
        <v>37046.549999999996</v>
      </c>
      <c r="Y13" s="26">
        <f>(27338.65-1526.32)</f>
        <v>25812.33</v>
      </c>
      <c r="Z13" s="26">
        <f>(19258.71-1288.57)</f>
        <v>17970.14</v>
      </c>
      <c r="AA13" s="26">
        <f>(10649.99-506.65)</f>
        <v>10143.34</v>
      </c>
      <c r="AB13" s="48">
        <v>115540.4</v>
      </c>
      <c r="AC13" s="48">
        <v>104659.05</v>
      </c>
      <c r="AD13" s="48">
        <v>95877.11</v>
      </c>
      <c r="AE13" s="48">
        <v>86530.68</v>
      </c>
      <c r="AF13" s="48">
        <v>78335.34</v>
      </c>
      <c r="AG13" s="48">
        <f>98543.87-28573.11</f>
        <v>69970.759999999995</v>
      </c>
      <c r="AH13" s="48">
        <f>68115.97-9005.62</f>
        <v>59110.35</v>
      </c>
      <c r="AI13" s="48">
        <f>51337.23-2013.16</f>
        <v>49324.07</v>
      </c>
      <c r="AJ13" s="48">
        <f>41173.06-1105.92</f>
        <v>40067.14</v>
      </c>
      <c r="AK13" s="48">
        <f>31849.6-797.94</f>
        <v>31051.66</v>
      </c>
      <c r="AL13" s="48">
        <f>21770.23-197.94</f>
        <v>21572.29</v>
      </c>
      <c r="AM13" s="48">
        <f>13700.23-197.94</f>
        <v>13502.289999999999</v>
      </c>
      <c r="AN13" s="48">
        <f>141771.38-37905.51</f>
        <v>103865.87</v>
      </c>
      <c r="AO13" s="48">
        <f>131940.21-37617.8</f>
        <v>94322.409999999989</v>
      </c>
      <c r="AP13" s="48">
        <f>123167.82-36987</f>
        <v>86180.82</v>
      </c>
      <c r="AQ13" s="48">
        <f>115581.16-36987</f>
        <v>78594.16</v>
      </c>
      <c r="AR13" s="48">
        <f>100991.76-36987</f>
        <v>64004.759999999995</v>
      </c>
      <c r="AS13" s="48">
        <f>89873.8-35301.79</f>
        <v>54572.01</v>
      </c>
      <c r="AT13" s="48">
        <f>57686.79-10566.83</f>
        <v>47119.96</v>
      </c>
      <c r="AU13" s="48">
        <f>46573.23-7698.84</f>
        <v>38874.39</v>
      </c>
      <c r="AV13" s="48">
        <f>35702.89-6835.98</f>
        <v>28866.91</v>
      </c>
      <c r="AW13" s="48">
        <f>15509.91-392.48</f>
        <v>15117.43</v>
      </c>
      <c r="AX13" s="48">
        <f>9727.03-198.3</f>
        <v>9528.7300000000014</v>
      </c>
      <c r="AY13" s="48">
        <f>165283.61-55089.91</f>
        <v>110193.69999999998</v>
      </c>
      <c r="AZ13" s="48">
        <f>154985.88-55089.91</f>
        <v>99895.97</v>
      </c>
      <c r="BA13" s="48">
        <f>147908.73-55089.91</f>
        <v>92818.82</v>
      </c>
      <c r="BB13" s="48">
        <f>137385.94-53318.11</f>
        <v>84067.83</v>
      </c>
      <c r="BC13" s="48">
        <f>129017.7-53318.11</f>
        <v>75699.59</v>
      </c>
      <c r="BD13" s="48">
        <f>120422.8-53318.11</f>
        <v>67104.69</v>
      </c>
      <c r="BE13" s="48">
        <f>110494.93-53318.11</f>
        <v>57176.819999999992</v>
      </c>
      <c r="BF13" s="48">
        <f>102406.75-52731.61</f>
        <v>49675.14</v>
      </c>
      <c r="BG13" s="48">
        <f>56305.75-17474.25</f>
        <v>38831.5</v>
      </c>
      <c r="BH13" s="48">
        <f>29627.71-1697.38</f>
        <v>27930.329999999998</v>
      </c>
      <c r="BI13" s="48">
        <f>19782.49-632.98</f>
        <v>19149.510000000002</v>
      </c>
      <c r="BJ13" s="48">
        <f>9721.86-132.98</f>
        <v>9588.880000000001</v>
      </c>
    </row>
    <row r="14" spans="1:67" ht="14.25" customHeight="1" x14ac:dyDescent="0.25">
      <c r="C14" s="1" t="s">
        <v>43</v>
      </c>
      <c r="D14" s="26">
        <f>+(173675-38900)/12*12</f>
        <v>134775</v>
      </c>
      <c r="E14" s="26">
        <f>+(173675-38900)/12*11</f>
        <v>123543.75</v>
      </c>
      <c r="F14" s="26">
        <f>+(173675-38900)/12*10</f>
        <v>112312.5</v>
      </c>
      <c r="G14" s="26">
        <f>+(173675-38900)/12*9</f>
        <v>101081.25</v>
      </c>
      <c r="H14" s="26">
        <f>+(173675-38900)/12*8</f>
        <v>89850</v>
      </c>
      <c r="I14" s="26">
        <f>+(173675-38900)/12*7</f>
        <v>78618.75</v>
      </c>
      <c r="J14" s="26">
        <f>+(173675-38900)/12*6</f>
        <v>67387.5</v>
      </c>
      <c r="K14" s="26">
        <f>+(173675-38900)/12*5</f>
        <v>56156.25</v>
      </c>
      <c r="L14" s="26">
        <f>+(173675-38900)/12*4</f>
        <v>44925</v>
      </c>
      <c r="M14" s="26">
        <f>+(173675-38900)/12*3</f>
        <v>33693.75</v>
      </c>
      <c r="N14" s="26">
        <f>+(173675-38900)/12*2</f>
        <v>22462.5</v>
      </c>
      <c r="O14" s="26">
        <f>+(173675-38900)/12*1</f>
        <v>11231.25</v>
      </c>
      <c r="P14" s="26">
        <f>+(158897-34415)/12*12</f>
        <v>124482</v>
      </c>
      <c r="Q14" s="26">
        <f>+(158897-34415)/12*11</f>
        <v>114108.5</v>
      </c>
      <c r="R14" s="26">
        <f>+(158897-34415)/12*10</f>
        <v>103735</v>
      </c>
      <c r="S14" s="26">
        <f>+(158897-34415)/12*9</f>
        <v>93361.5</v>
      </c>
      <c r="T14" s="26">
        <f>+(158897-34415)/12*8</f>
        <v>82988</v>
      </c>
      <c r="U14" s="26">
        <f>+(158897-34415)/12*7</f>
        <v>72614.5</v>
      </c>
      <c r="V14" s="26">
        <f>+(158897-34415)/12*6</f>
        <v>62241</v>
      </c>
      <c r="W14" s="26">
        <f>+(158897-34415)/12*5</f>
        <v>51867.5</v>
      </c>
      <c r="X14" s="26">
        <f>+(158897-34415)/12*4</f>
        <v>41494</v>
      </c>
      <c r="Y14" s="26">
        <f>+(158897-34415)/12*3</f>
        <v>31120.5</v>
      </c>
      <c r="Z14" s="26">
        <f>+(158897-34415)/12*2</f>
        <v>20747</v>
      </c>
      <c r="AA14" s="26">
        <f>+(158897-34415)/12</f>
        <v>10373.5</v>
      </c>
      <c r="AB14" s="48">
        <f>+(169577-41565)/12*12</f>
        <v>128012</v>
      </c>
      <c r="AC14" s="48">
        <f>+(169577-41565)/12*11</f>
        <v>117344.33333333333</v>
      </c>
      <c r="AD14" s="48">
        <f>+(169577-41565)/12*10</f>
        <v>106676.66666666666</v>
      </c>
      <c r="AE14" s="48">
        <f>+(169577-41565)/12*9</f>
        <v>96009</v>
      </c>
      <c r="AF14" s="48">
        <f>+(169577-41565)/12*8</f>
        <v>85341.333333333328</v>
      </c>
      <c r="AG14" s="48">
        <f>+(169577-41565)/12*7</f>
        <v>74673.666666666657</v>
      </c>
      <c r="AH14" s="48">
        <f>+(169577-41565)/12*6</f>
        <v>64006</v>
      </c>
      <c r="AI14" s="48">
        <f>+(169577-41565)/12*5</f>
        <v>53338.333333333328</v>
      </c>
      <c r="AJ14" s="48">
        <f>+(169577-41565)/12*4</f>
        <v>42670.666666666664</v>
      </c>
      <c r="AK14" s="48">
        <f>+(169577-41565)/12*3</f>
        <v>32003</v>
      </c>
      <c r="AL14" s="48">
        <f>+(169577-41565)/12*2</f>
        <v>21335.333333333332</v>
      </c>
      <c r="AM14" s="48">
        <f>+(169577-41565)/12</f>
        <v>10667.666666666666</v>
      </c>
      <c r="AN14" s="48">
        <f>+(171526-40275)/12*11</f>
        <v>120313.41666666667</v>
      </c>
      <c r="AO14" s="48">
        <f>+(171526-40275)/12*10</f>
        <v>109375.83333333334</v>
      </c>
      <c r="AP14" s="48">
        <f>+(171526-40275)/12*9</f>
        <v>98438.25</v>
      </c>
      <c r="AQ14" s="48">
        <f>+(171526-40275)/12*8</f>
        <v>87500.666666666672</v>
      </c>
      <c r="AR14" s="48">
        <f>+(171526-40275)/12*7</f>
        <v>76563.083333333343</v>
      </c>
      <c r="AS14" s="48">
        <f>+(171526-40275)/12*6</f>
        <v>65625.5</v>
      </c>
      <c r="AT14" s="48">
        <f>+(171526-40275)/12*5</f>
        <v>54687.916666666672</v>
      </c>
      <c r="AU14" s="48">
        <f>+(171526-40275)/12*4</f>
        <v>43750.333333333336</v>
      </c>
      <c r="AV14" s="48">
        <f>+(171526-40275)/12*3</f>
        <v>32812.75</v>
      </c>
      <c r="AW14" s="48">
        <f>+(171526-40275)/12*2</f>
        <v>21875.166666666668</v>
      </c>
      <c r="AX14" s="48">
        <f>+(171526-40275)/12</f>
        <v>10937.583333333334</v>
      </c>
      <c r="AY14" s="48">
        <f>131660/12*12</f>
        <v>131660</v>
      </c>
      <c r="AZ14" s="48">
        <f>131660/12*11</f>
        <v>120688.33333333333</v>
      </c>
      <c r="BA14" s="48">
        <f>131660/12*10</f>
        <v>109716.66666666666</v>
      </c>
      <c r="BB14" s="48">
        <f>131660/12*9</f>
        <v>98745</v>
      </c>
      <c r="BC14" s="48">
        <f>131660/12*8</f>
        <v>87773.333333333328</v>
      </c>
      <c r="BD14" s="48">
        <f>131660/12*7</f>
        <v>76801.666666666657</v>
      </c>
      <c r="BE14" s="48">
        <f>131660/12*6</f>
        <v>65830</v>
      </c>
      <c r="BF14" s="48">
        <f>131660/12*5</f>
        <v>54858.333333333328</v>
      </c>
      <c r="BG14" s="48">
        <f>131660/12*4</f>
        <v>43886.666666666664</v>
      </c>
      <c r="BH14" s="48">
        <f>131660/12*3</f>
        <v>32915</v>
      </c>
      <c r="BI14" s="48">
        <f>131660/12*2</f>
        <v>21943.333333333332</v>
      </c>
      <c r="BJ14" s="48">
        <f>131660/12</f>
        <v>10971.666666666666</v>
      </c>
    </row>
    <row r="15" spans="1:67" ht="14.25" customHeight="1" x14ac:dyDescent="0.25">
      <c r="C15" s="1" t="s">
        <v>44</v>
      </c>
      <c r="D15" s="24">
        <f t="shared" ref="D15:BJ15" si="5">+D14-D13</f>
        <v>12523.959999999992</v>
      </c>
      <c r="E15" s="24">
        <f t="shared" si="5"/>
        <v>13377.449999999983</v>
      </c>
      <c r="F15" s="24">
        <f t="shared" si="5"/>
        <v>12332.599999999991</v>
      </c>
      <c r="G15" s="24">
        <f t="shared" si="5"/>
        <v>10216.970000000001</v>
      </c>
      <c r="H15" s="24">
        <f t="shared" si="5"/>
        <v>9062.0499999999884</v>
      </c>
      <c r="I15" s="24">
        <f t="shared" si="5"/>
        <v>6693.6399999999994</v>
      </c>
      <c r="J15" s="24">
        <f t="shared" si="5"/>
        <v>8825.39</v>
      </c>
      <c r="K15" s="24">
        <f t="shared" si="5"/>
        <v>6898.7000000000044</v>
      </c>
      <c r="L15" s="24">
        <f t="shared" si="5"/>
        <v>5354.7299999999959</v>
      </c>
      <c r="M15" s="24">
        <f t="shared" si="5"/>
        <v>4244.09</v>
      </c>
      <c r="N15" s="24">
        <f t="shared" si="5"/>
        <v>1584.1100000000006</v>
      </c>
      <c r="O15" s="24">
        <f t="shared" si="5"/>
        <v>133.10000000000036</v>
      </c>
      <c r="P15" s="24">
        <f t="shared" si="5"/>
        <v>13170.350000000006</v>
      </c>
      <c r="Q15" s="24">
        <f t="shared" si="5"/>
        <v>12681.62999999999</v>
      </c>
      <c r="R15" s="24">
        <f t="shared" si="5"/>
        <v>10894.25</v>
      </c>
      <c r="S15" s="24">
        <f t="shared" si="5"/>
        <v>10468.25</v>
      </c>
      <c r="T15" s="24">
        <f t="shared" si="5"/>
        <v>9897</v>
      </c>
      <c r="U15" s="24">
        <f t="shared" si="5"/>
        <v>7945</v>
      </c>
      <c r="V15" s="24">
        <f t="shared" si="5"/>
        <v>8762.9799999999959</v>
      </c>
      <c r="W15" s="24">
        <f t="shared" si="5"/>
        <v>6089.6100000000006</v>
      </c>
      <c r="X15" s="24">
        <f t="shared" si="5"/>
        <v>4447.4500000000044</v>
      </c>
      <c r="Y15" s="24">
        <f t="shared" si="5"/>
        <v>5308.1699999999983</v>
      </c>
      <c r="Z15" s="24">
        <f t="shared" si="5"/>
        <v>2776.8600000000006</v>
      </c>
      <c r="AA15" s="24">
        <f t="shared" si="5"/>
        <v>230.15999999999985</v>
      </c>
      <c r="AB15" s="24">
        <f t="shared" si="5"/>
        <v>12471.600000000006</v>
      </c>
      <c r="AC15" s="24">
        <f t="shared" si="5"/>
        <v>12685.283333333326</v>
      </c>
      <c r="AD15" s="24">
        <f t="shared" si="5"/>
        <v>10799.556666666656</v>
      </c>
      <c r="AE15" s="24">
        <f t="shared" si="5"/>
        <v>9478.320000000007</v>
      </c>
      <c r="AF15" s="24">
        <f t="shared" si="5"/>
        <v>7005.993333333332</v>
      </c>
      <c r="AG15" s="24">
        <f t="shared" si="5"/>
        <v>4702.9066666666622</v>
      </c>
      <c r="AH15" s="24">
        <f t="shared" si="5"/>
        <v>4895.6500000000015</v>
      </c>
      <c r="AI15" s="24">
        <f t="shared" si="5"/>
        <v>4014.2633333333288</v>
      </c>
      <c r="AJ15" s="24">
        <f t="shared" si="5"/>
        <v>2603.5266666666648</v>
      </c>
      <c r="AK15" s="24">
        <f t="shared" si="5"/>
        <v>951.34000000000015</v>
      </c>
      <c r="AL15" s="24">
        <f t="shared" si="5"/>
        <v>-236.95666666666875</v>
      </c>
      <c r="AM15" s="24">
        <f t="shared" si="5"/>
        <v>-2834.623333333333</v>
      </c>
      <c r="AN15" s="24">
        <f t="shared" si="5"/>
        <v>16447.546666666676</v>
      </c>
      <c r="AO15" s="24">
        <f t="shared" si="5"/>
        <v>15053.423333333354</v>
      </c>
      <c r="AP15" s="24">
        <f t="shared" si="5"/>
        <v>12257.429999999993</v>
      </c>
      <c r="AQ15" s="24">
        <f t="shared" si="5"/>
        <v>8906.506666666668</v>
      </c>
      <c r="AR15" s="24">
        <f t="shared" si="5"/>
        <v>12558.323333333348</v>
      </c>
      <c r="AS15" s="24">
        <f t="shared" si="5"/>
        <v>11053.489999999998</v>
      </c>
      <c r="AT15" s="24">
        <f t="shared" si="5"/>
        <v>7567.9566666666724</v>
      </c>
      <c r="AU15" s="24">
        <f t="shared" si="5"/>
        <v>4875.9433333333363</v>
      </c>
      <c r="AV15" s="24">
        <f t="shared" si="5"/>
        <v>3945.84</v>
      </c>
      <c r="AW15" s="24">
        <f t="shared" si="5"/>
        <v>6757.7366666666676</v>
      </c>
      <c r="AX15" s="24">
        <f t="shared" si="5"/>
        <v>1408.8533333333326</v>
      </c>
      <c r="AY15" s="24">
        <f t="shared" si="5"/>
        <v>21466.300000000017</v>
      </c>
      <c r="AZ15" s="24">
        <f t="shared" si="5"/>
        <v>20792.363333333327</v>
      </c>
      <c r="BA15" s="24">
        <f t="shared" si="5"/>
        <v>16897.84666666665</v>
      </c>
      <c r="BB15" s="24">
        <f t="shared" si="5"/>
        <v>14677.169999999998</v>
      </c>
      <c r="BC15" s="24">
        <f t="shared" si="5"/>
        <v>12073.743333333332</v>
      </c>
      <c r="BD15" s="24">
        <f t="shared" si="5"/>
        <v>9696.9766666666546</v>
      </c>
      <c r="BE15" s="24">
        <f t="shared" si="5"/>
        <v>8653.1800000000076</v>
      </c>
      <c r="BF15" s="24">
        <f t="shared" si="5"/>
        <v>5183.1933333333291</v>
      </c>
      <c r="BG15" s="24">
        <f t="shared" si="5"/>
        <v>5055.1666666666642</v>
      </c>
      <c r="BH15" s="24">
        <f t="shared" si="5"/>
        <v>4984.6700000000019</v>
      </c>
      <c r="BI15" s="24">
        <f t="shared" si="5"/>
        <v>2793.8233333333301</v>
      </c>
      <c r="BJ15" s="24">
        <f t="shared" si="5"/>
        <v>1382.786666666665</v>
      </c>
    </row>
    <row r="16" spans="1:67" ht="14.25" customHeight="1" x14ac:dyDescent="0.25"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</row>
    <row r="17" spans="3:62" ht="14.25" customHeight="1" x14ac:dyDescent="0.25">
      <c r="C17" s="1" t="s">
        <v>46</v>
      </c>
      <c r="D17" s="27">
        <f t="shared" ref="D17:AX17" si="6">+D15+D7+D11</f>
        <v>-1152.8199999999888</v>
      </c>
      <c r="E17" s="27">
        <f t="shared" si="6"/>
        <v>1302.8175757575591</v>
      </c>
      <c r="F17" s="27">
        <f t="shared" si="6"/>
        <v>1014.4033333333427</v>
      </c>
      <c r="G17" s="27">
        <f t="shared" si="6"/>
        <v>-242.6933333333327</v>
      </c>
      <c r="H17" s="27">
        <f t="shared" si="6"/>
        <v>-588.38333333333503</v>
      </c>
      <c r="I17" s="27">
        <f t="shared" si="6"/>
        <v>-2494.6452380952451</v>
      </c>
      <c r="J17" s="27">
        <f t="shared" si="6"/>
        <v>629.36000000000422</v>
      </c>
      <c r="K17" s="27">
        <f t="shared" si="6"/>
        <v>-431.77333333333081</v>
      </c>
      <c r="L17" s="27">
        <f t="shared" si="6"/>
        <v>-415.62666666667246</v>
      </c>
      <c r="M17" s="27">
        <f t="shared" si="6"/>
        <v>-1020.8399999999965</v>
      </c>
      <c r="N17" s="27">
        <f t="shared" si="6"/>
        <v>-3258.7233333333324</v>
      </c>
      <c r="O17" s="27">
        <f t="shared" si="6"/>
        <v>-4532.8166666666657</v>
      </c>
      <c r="P17" s="27">
        <f t="shared" si="6"/>
        <v>11684.929999999989</v>
      </c>
      <c r="Q17" s="27">
        <f t="shared" si="6"/>
        <v>11599.576363636354</v>
      </c>
      <c r="R17" s="27">
        <f t="shared" si="6"/>
        <v>10191.159999999989</v>
      </c>
      <c r="S17" s="27">
        <f t="shared" si="6"/>
        <v>8292.9833333333318</v>
      </c>
      <c r="T17" s="27">
        <f t="shared" si="6"/>
        <v>6203.359999999986</v>
      </c>
      <c r="U17" s="27">
        <f t="shared" si="6"/>
        <v>4735.1799999999912</v>
      </c>
      <c r="V17" s="27">
        <f t="shared" si="6"/>
        <v>5633.7499999999891</v>
      </c>
      <c r="W17" s="27">
        <f t="shared" si="6"/>
        <v>3507.9899999999975</v>
      </c>
      <c r="X17" s="27">
        <f t="shared" si="6"/>
        <v>750.90000000000146</v>
      </c>
      <c r="Y17" s="27">
        <f t="shared" si="6"/>
        <v>1411.2400000000021</v>
      </c>
      <c r="Z17" s="27">
        <f t="shared" si="6"/>
        <v>-723.47000000000116</v>
      </c>
      <c r="AA17" s="27">
        <f t="shared" si="6"/>
        <v>-2156.2199999999975</v>
      </c>
      <c r="AB17" s="27">
        <f t="shared" si="6"/>
        <v>9155.6400000000103</v>
      </c>
      <c r="AC17" s="27">
        <f t="shared" si="6"/>
        <v>10807.483939393935</v>
      </c>
      <c r="AD17" s="27">
        <f t="shared" si="6"/>
        <v>9791.9933333333211</v>
      </c>
      <c r="AE17" s="27">
        <f t="shared" si="6"/>
        <v>9580.8800000000047</v>
      </c>
      <c r="AF17" s="27">
        <f t="shared" si="6"/>
        <v>7095.1266666666634</v>
      </c>
      <c r="AG17" s="27">
        <f t="shared" si="6"/>
        <v>5815.6233333333275</v>
      </c>
      <c r="AH17" s="27">
        <f t="shared" si="6"/>
        <v>6407.7599999999984</v>
      </c>
      <c r="AI17" s="27">
        <f t="shared" si="6"/>
        <v>4384.9066666666658</v>
      </c>
      <c r="AJ17" s="27">
        <f t="shared" si="6"/>
        <v>3660.0233333333254</v>
      </c>
      <c r="AK17" s="27">
        <f t="shared" si="6"/>
        <v>2602.6199999999953</v>
      </c>
      <c r="AL17" s="27">
        <f t="shared" si="6"/>
        <v>-1339.2033333333302</v>
      </c>
      <c r="AM17" s="27">
        <f t="shared" si="6"/>
        <v>-3836.1066666666679</v>
      </c>
      <c r="AN17" s="27">
        <f t="shared" si="6"/>
        <v>17322.449696969721</v>
      </c>
      <c r="AO17" s="27">
        <f t="shared" si="6"/>
        <v>12404.956666666694</v>
      </c>
      <c r="AP17" s="27">
        <f t="shared" si="6"/>
        <v>2144.44333333332</v>
      </c>
      <c r="AQ17" s="27">
        <f t="shared" si="6"/>
        <v>125.85333333332892</v>
      </c>
      <c r="AR17" s="27">
        <f t="shared" si="6"/>
        <v>5340.4066666666804</v>
      </c>
      <c r="AS17" s="27">
        <f t="shared" si="6"/>
        <v>6002.229999999985</v>
      </c>
      <c r="AT17" s="27">
        <f t="shared" si="6"/>
        <v>3429.9533333333275</v>
      </c>
      <c r="AU17" s="27">
        <f t="shared" si="6"/>
        <v>2939.1866666666738</v>
      </c>
      <c r="AV17" s="27">
        <f t="shared" si="6"/>
        <v>2303.2100000000132</v>
      </c>
      <c r="AW17" s="27">
        <f t="shared" si="6"/>
        <v>4287.1933333333427</v>
      </c>
      <c r="AX17" s="27">
        <f t="shared" si="6"/>
        <v>1576.6766666666713</v>
      </c>
      <c r="AY17" s="27">
        <f t="shared" ref="AY17:BJ17" si="7">+AY15+AY7</f>
        <v>16823.390909090929</v>
      </c>
      <c r="AZ17" s="27">
        <f t="shared" si="7"/>
        <v>16149.454242424239</v>
      </c>
      <c r="BA17" s="27">
        <f t="shared" si="7"/>
        <v>12160.246666666651</v>
      </c>
      <c r="BB17" s="27">
        <f t="shared" si="7"/>
        <v>9842.5033333333322</v>
      </c>
      <c r="BC17" s="27">
        <f t="shared" si="7"/>
        <v>7159.743333333332</v>
      </c>
      <c r="BD17" s="27">
        <f t="shared" si="7"/>
        <v>4728.9766666666574</v>
      </c>
      <c r="BE17" s="27">
        <f t="shared" si="7"/>
        <v>3641.1800000000112</v>
      </c>
      <c r="BF17" s="27">
        <f t="shared" si="7"/>
        <v>176.79333333332761</v>
      </c>
      <c r="BG17" s="27">
        <f t="shared" si="7"/>
        <v>141.16666666666424</v>
      </c>
      <c r="BH17" s="27">
        <f t="shared" si="7"/>
        <v>-559.32999999999811</v>
      </c>
      <c r="BI17" s="27">
        <f t="shared" si="7"/>
        <v>-1658.1766666666699</v>
      </c>
      <c r="BJ17" s="27">
        <f t="shared" si="7"/>
        <v>-2145.213333333335</v>
      </c>
    </row>
    <row r="18" spans="3:62" ht="14.25" customHeight="1" x14ac:dyDescent="0.2"/>
    <row r="19" spans="3:62" ht="14.25" customHeight="1" x14ac:dyDescent="0.25">
      <c r="C19" s="1" t="s">
        <v>48</v>
      </c>
      <c r="D19" s="26">
        <v>196400.27</v>
      </c>
      <c r="E19" s="26">
        <v>183372.72</v>
      </c>
      <c r="F19" s="26">
        <v>187318.57</v>
      </c>
      <c r="G19" s="26">
        <v>192689.72</v>
      </c>
      <c r="H19" s="26">
        <v>196488.25</v>
      </c>
      <c r="I19" s="26">
        <v>199939.96</v>
      </c>
      <c r="J19" s="26">
        <v>206509.62</v>
      </c>
      <c r="K19" s="26">
        <v>208026.37</v>
      </c>
      <c r="L19" s="26">
        <v>226589.55</v>
      </c>
      <c r="M19" s="26">
        <v>236966</v>
      </c>
      <c r="N19" s="26">
        <v>216536.92</v>
      </c>
      <c r="O19" s="26">
        <v>208852.88</v>
      </c>
      <c r="P19" s="26">
        <v>208084.34</v>
      </c>
      <c r="Q19" s="26">
        <v>190910.57</v>
      </c>
      <c r="R19" s="26">
        <v>195109.54</v>
      </c>
      <c r="S19" s="26">
        <v>196661.4</v>
      </c>
      <c r="T19" s="26">
        <v>198062.31</v>
      </c>
      <c r="U19" s="26">
        <v>201360.67</v>
      </c>
      <c r="V19" s="26">
        <v>205295.41</v>
      </c>
      <c r="W19" s="26">
        <v>222436.86</v>
      </c>
      <c r="X19" s="26">
        <v>223214.74</v>
      </c>
      <c r="Y19" s="26">
        <v>225441.26</v>
      </c>
      <c r="Z19" s="26">
        <v>200070.68</v>
      </c>
      <c r="AA19" s="26">
        <v>190292.37</v>
      </c>
      <c r="AB19" s="25">
        <v>183451.03</v>
      </c>
      <c r="AC19" s="25">
        <v>165527.87</v>
      </c>
      <c r="AD19" s="25">
        <v>169705.41</v>
      </c>
      <c r="AE19" s="25">
        <v>171598.07</v>
      </c>
      <c r="AF19" s="25">
        <v>171675.05</v>
      </c>
      <c r="AG19" s="48">
        <v>174179.87</v>
      </c>
      <c r="AH19" s="48">
        <v>196037.68</v>
      </c>
      <c r="AI19" s="48">
        <v>201222.8</v>
      </c>
      <c r="AJ19" s="48">
        <v>199351.59</v>
      </c>
      <c r="AK19" s="48">
        <v>182578.38</v>
      </c>
      <c r="AL19" s="48">
        <v>172974.49</v>
      </c>
      <c r="AM19" s="48">
        <v>168857.21</v>
      </c>
      <c r="AN19" s="48">
        <v>138236.38</v>
      </c>
      <c r="AO19" s="48">
        <v>139914.1</v>
      </c>
      <c r="AP19" s="48">
        <v>136897.97</v>
      </c>
      <c r="AQ19" s="48">
        <v>133154.15</v>
      </c>
      <c r="AR19" s="48">
        <v>141056.29</v>
      </c>
      <c r="AS19" s="48">
        <v>146472.87</v>
      </c>
      <c r="AT19" s="48">
        <v>171294.25</v>
      </c>
      <c r="AU19" s="48">
        <v>171543.28</v>
      </c>
      <c r="AV19" s="48">
        <v>155924.75</v>
      </c>
      <c r="AW19" s="48">
        <v>154498.1</v>
      </c>
      <c r="AX19" s="48">
        <v>152371.14000000001</v>
      </c>
      <c r="AY19" s="48">
        <v>120388.32</v>
      </c>
      <c r="AZ19" s="48">
        <v>99920.19</v>
      </c>
      <c r="BA19" s="48">
        <v>101238.88</v>
      </c>
      <c r="BB19" s="48">
        <v>105639.09</v>
      </c>
      <c r="BC19" s="48">
        <v>108992.54</v>
      </c>
      <c r="BD19" s="48">
        <v>112437.44</v>
      </c>
      <c r="BE19" s="48">
        <v>113633.69</v>
      </c>
      <c r="BF19" s="48">
        <v>115805.19</v>
      </c>
      <c r="BG19" s="48">
        <v>157672.74</v>
      </c>
      <c r="BH19" s="48">
        <v>164947.21</v>
      </c>
      <c r="BI19" s="48">
        <v>154575.5</v>
      </c>
      <c r="BJ19" s="48">
        <v>151253.48000000001</v>
      </c>
    </row>
    <row r="20" spans="3:62" ht="14.25" customHeight="1" x14ac:dyDescent="0.25">
      <c r="C20" s="1" t="s">
        <v>50</v>
      </c>
      <c r="D20" s="26">
        <v>-49435.3</v>
      </c>
      <c r="E20" s="26">
        <v>-49435.3</v>
      </c>
      <c r="F20" s="26">
        <v>-49435.3</v>
      </c>
      <c r="G20" s="26">
        <v>-49435.3</v>
      </c>
      <c r="H20" s="26">
        <v>-49435.3</v>
      </c>
      <c r="I20" s="26">
        <v>-49435.3</v>
      </c>
      <c r="J20" s="26">
        <v>-49435.3</v>
      </c>
      <c r="K20" s="26">
        <v>-49435.3</v>
      </c>
      <c r="L20" s="26">
        <v>-49435.3</v>
      </c>
      <c r="M20" s="26">
        <v>-49435.3</v>
      </c>
      <c r="N20" s="26">
        <v>-49435.3</v>
      </c>
      <c r="O20" s="26">
        <v>-49435.3</v>
      </c>
      <c r="P20" s="26">
        <v>-49532.62</v>
      </c>
      <c r="Q20" s="26">
        <v>-49532.62</v>
      </c>
      <c r="R20" s="26">
        <v>-49532.62</v>
      </c>
      <c r="S20" s="26">
        <v>-49532.62</v>
      </c>
      <c r="T20" s="26">
        <v>-49532.62</v>
      </c>
      <c r="U20" s="26">
        <v>-49532.62</v>
      </c>
      <c r="V20" s="26">
        <v>-49532.62</v>
      </c>
      <c r="W20" s="26">
        <v>-49532.62</v>
      </c>
      <c r="X20" s="26">
        <v>-49532.62</v>
      </c>
      <c r="Y20" s="26">
        <v>-49532.62</v>
      </c>
      <c r="Z20" s="26">
        <v>-49532.62</v>
      </c>
      <c r="AA20" s="26">
        <v>-49532.62</v>
      </c>
      <c r="AB20" s="26">
        <v>-50647.44</v>
      </c>
      <c r="AC20" s="26">
        <v>-48110.63</v>
      </c>
      <c r="AD20" s="26">
        <v>-47041.58</v>
      </c>
      <c r="AE20" s="26">
        <v>-47041.58</v>
      </c>
      <c r="AF20" s="26">
        <v>-47041.58</v>
      </c>
      <c r="AG20" s="48">
        <v>-47041.58</v>
      </c>
      <c r="AH20" s="48">
        <v>-47041.58</v>
      </c>
      <c r="AI20" s="48">
        <v>-47041.58</v>
      </c>
      <c r="AJ20" s="48">
        <v>-47041.58</v>
      </c>
      <c r="AK20" s="48">
        <v>-47041.58</v>
      </c>
      <c r="AL20" s="48">
        <v>-47041.58</v>
      </c>
      <c r="AM20" s="48">
        <v>-47041.58</v>
      </c>
      <c r="AN20" s="48">
        <v>-46210.35</v>
      </c>
      <c r="AO20" s="48">
        <v>-46210.35</v>
      </c>
      <c r="AP20" s="48">
        <v>-46210.35</v>
      </c>
      <c r="AQ20" s="48">
        <v>-46210.35</v>
      </c>
      <c r="AR20" s="48">
        <v>-46210.35</v>
      </c>
      <c r="AS20" s="48">
        <v>-46210.35</v>
      </c>
      <c r="AT20" s="48">
        <v>-46210.35</v>
      </c>
      <c r="AU20" s="48">
        <v>-46210.35</v>
      </c>
      <c r="AV20" s="48">
        <v>-46210.35</v>
      </c>
      <c r="AW20" s="48">
        <v>-46210.35</v>
      </c>
      <c r="AX20" s="48">
        <v>-46210.35</v>
      </c>
      <c r="AY20" s="48">
        <v>-47919.53</v>
      </c>
      <c r="AZ20" s="48">
        <v>-47919.53</v>
      </c>
      <c r="BA20" s="48">
        <v>-47919.53</v>
      </c>
      <c r="BB20" s="48">
        <v>-47919.53</v>
      </c>
      <c r="BC20" s="48">
        <v>-47919.53</v>
      </c>
      <c r="BD20" s="48">
        <v>-47919.53</v>
      </c>
      <c r="BE20" s="48">
        <v>-47919.53</v>
      </c>
      <c r="BF20" s="48">
        <v>-47919.53</v>
      </c>
      <c r="BG20" s="48">
        <v>-47919.53</v>
      </c>
      <c r="BH20" s="48">
        <v>-47919.53</v>
      </c>
      <c r="BI20" s="48">
        <v>-47919.53</v>
      </c>
      <c r="BJ20" s="48">
        <v>-47919.53</v>
      </c>
    </row>
    <row r="21" spans="3:62" ht="14.25" customHeight="1" x14ac:dyDescent="0.25">
      <c r="D21" s="28">
        <f t="shared" ref="D21:BJ21" si="8">SUM(D19:D20)</f>
        <v>146964.96999999997</v>
      </c>
      <c r="E21" s="28">
        <f t="shared" si="8"/>
        <v>133937.41999999998</v>
      </c>
      <c r="F21" s="28">
        <f t="shared" si="8"/>
        <v>137883.27000000002</v>
      </c>
      <c r="G21" s="28">
        <f t="shared" si="8"/>
        <v>143254.41999999998</v>
      </c>
      <c r="H21" s="28">
        <f t="shared" si="8"/>
        <v>147052.95000000001</v>
      </c>
      <c r="I21" s="28">
        <f t="shared" si="8"/>
        <v>150504.65999999997</v>
      </c>
      <c r="J21" s="28">
        <f t="shared" si="8"/>
        <v>157074.32</v>
      </c>
      <c r="K21" s="28">
        <f t="shared" si="8"/>
        <v>158591.07</v>
      </c>
      <c r="L21" s="28">
        <f t="shared" si="8"/>
        <v>177154.25</v>
      </c>
      <c r="M21" s="28">
        <f t="shared" si="8"/>
        <v>187530.7</v>
      </c>
      <c r="N21" s="28">
        <f t="shared" si="8"/>
        <v>167101.62</v>
      </c>
      <c r="O21" s="28">
        <f t="shared" si="8"/>
        <v>159417.58000000002</v>
      </c>
      <c r="P21" s="28">
        <f t="shared" si="8"/>
        <v>158551.72</v>
      </c>
      <c r="Q21" s="28">
        <f t="shared" si="8"/>
        <v>141377.95000000001</v>
      </c>
      <c r="R21" s="28">
        <f t="shared" si="8"/>
        <v>145576.92000000001</v>
      </c>
      <c r="S21" s="28">
        <f t="shared" si="8"/>
        <v>147128.78</v>
      </c>
      <c r="T21" s="28">
        <f t="shared" si="8"/>
        <v>148529.69</v>
      </c>
      <c r="U21" s="28">
        <f t="shared" si="8"/>
        <v>151828.05000000002</v>
      </c>
      <c r="V21" s="28">
        <f t="shared" si="8"/>
        <v>155762.79</v>
      </c>
      <c r="W21" s="28">
        <f t="shared" si="8"/>
        <v>172904.24</v>
      </c>
      <c r="X21" s="28">
        <f t="shared" si="8"/>
        <v>173682.12</v>
      </c>
      <c r="Y21" s="28">
        <f t="shared" si="8"/>
        <v>175908.64</v>
      </c>
      <c r="Z21" s="28">
        <f t="shared" si="8"/>
        <v>150538.06</v>
      </c>
      <c r="AA21" s="28">
        <f t="shared" si="8"/>
        <v>140759.75</v>
      </c>
      <c r="AB21" s="28">
        <f t="shared" si="8"/>
        <v>132803.59</v>
      </c>
      <c r="AC21" s="28">
        <f t="shared" si="8"/>
        <v>117417.23999999999</v>
      </c>
      <c r="AD21" s="28">
        <f t="shared" si="8"/>
        <v>122663.83</v>
      </c>
      <c r="AE21" s="28">
        <f t="shared" si="8"/>
        <v>124556.49</v>
      </c>
      <c r="AF21" s="28">
        <f t="shared" si="8"/>
        <v>124633.46999999999</v>
      </c>
      <c r="AG21" s="28">
        <f t="shared" si="8"/>
        <v>127138.29</v>
      </c>
      <c r="AH21" s="28">
        <f t="shared" si="8"/>
        <v>148996.09999999998</v>
      </c>
      <c r="AI21" s="28">
        <f t="shared" si="8"/>
        <v>154181.21999999997</v>
      </c>
      <c r="AJ21" s="28">
        <f t="shared" si="8"/>
        <v>152310.01</v>
      </c>
      <c r="AK21" s="28">
        <f t="shared" si="8"/>
        <v>135536.79999999999</v>
      </c>
      <c r="AL21" s="28">
        <f t="shared" si="8"/>
        <v>125932.90999999999</v>
      </c>
      <c r="AM21" s="28">
        <f t="shared" si="8"/>
        <v>121815.62999999999</v>
      </c>
      <c r="AN21" s="28">
        <f t="shared" si="8"/>
        <v>92026.03</v>
      </c>
      <c r="AO21" s="28">
        <f t="shared" si="8"/>
        <v>93703.75</v>
      </c>
      <c r="AP21" s="28">
        <f t="shared" si="8"/>
        <v>90687.62</v>
      </c>
      <c r="AQ21" s="28">
        <f t="shared" si="8"/>
        <v>86943.799999999988</v>
      </c>
      <c r="AR21" s="28">
        <f t="shared" si="8"/>
        <v>94845.94</v>
      </c>
      <c r="AS21" s="28">
        <f t="shared" si="8"/>
        <v>100262.51999999999</v>
      </c>
      <c r="AT21" s="28">
        <f t="shared" si="8"/>
        <v>125083.9</v>
      </c>
      <c r="AU21" s="28">
        <f t="shared" si="8"/>
        <v>125332.93</v>
      </c>
      <c r="AV21" s="28">
        <f t="shared" si="8"/>
        <v>109714.4</v>
      </c>
      <c r="AW21" s="28">
        <f t="shared" si="8"/>
        <v>108287.75</v>
      </c>
      <c r="AX21" s="28">
        <f t="shared" si="8"/>
        <v>106160.79000000001</v>
      </c>
      <c r="AY21" s="28">
        <f t="shared" si="8"/>
        <v>72468.790000000008</v>
      </c>
      <c r="AZ21" s="28">
        <f t="shared" si="8"/>
        <v>52000.66</v>
      </c>
      <c r="BA21" s="28">
        <f t="shared" si="8"/>
        <v>53319.350000000006</v>
      </c>
      <c r="BB21" s="28">
        <f t="shared" si="8"/>
        <v>57719.56</v>
      </c>
      <c r="BC21" s="28">
        <f t="shared" si="8"/>
        <v>61073.009999999995</v>
      </c>
      <c r="BD21" s="28">
        <f t="shared" si="8"/>
        <v>64517.91</v>
      </c>
      <c r="BE21" s="28">
        <f t="shared" si="8"/>
        <v>65714.16</v>
      </c>
      <c r="BF21" s="28">
        <f t="shared" si="8"/>
        <v>67885.66</v>
      </c>
      <c r="BG21" s="28">
        <f t="shared" si="8"/>
        <v>109753.20999999999</v>
      </c>
      <c r="BH21" s="28">
        <f t="shared" si="8"/>
        <v>117027.68</v>
      </c>
      <c r="BI21" s="28">
        <f t="shared" si="8"/>
        <v>106655.97</v>
      </c>
      <c r="BJ21" s="28">
        <f t="shared" si="8"/>
        <v>103333.95000000001</v>
      </c>
    </row>
    <row r="22" spans="3:62" ht="14.25" customHeight="1" x14ac:dyDescent="0.2"/>
    <row r="23" spans="3:62" ht="14.25" customHeight="1" x14ac:dyDescent="0.25">
      <c r="C23" s="1" t="s">
        <v>52</v>
      </c>
      <c r="D23" s="25">
        <v>2159.13</v>
      </c>
      <c r="E23" s="25">
        <v>2059.13</v>
      </c>
      <c r="F23" s="25">
        <v>2059.13</v>
      </c>
      <c r="G23" s="25">
        <v>2059.13</v>
      </c>
      <c r="H23" s="25">
        <v>2059.13</v>
      </c>
      <c r="I23" s="25">
        <v>2059.13</v>
      </c>
      <c r="J23" s="25">
        <v>2059.13</v>
      </c>
      <c r="K23" s="25">
        <v>2059.13</v>
      </c>
      <c r="L23" s="25"/>
      <c r="M23" s="25"/>
      <c r="N23" s="25"/>
      <c r="O23" s="25"/>
      <c r="P23" s="25">
        <v>15327.16</v>
      </c>
      <c r="Q23" s="25">
        <v>15327.16</v>
      </c>
      <c r="R23" s="25">
        <v>15327.16</v>
      </c>
      <c r="S23" s="25">
        <v>15327.16</v>
      </c>
      <c r="T23" s="25">
        <v>15327.16</v>
      </c>
      <c r="U23" s="25">
        <v>15327.16</v>
      </c>
      <c r="V23" s="25">
        <v>15327.16</v>
      </c>
      <c r="W23" s="25">
        <v>15327.16</v>
      </c>
      <c r="AB23" s="59">
        <v>11273.89</v>
      </c>
      <c r="AC23" s="59">
        <v>11273.89</v>
      </c>
      <c r="AD23" s="59">
        <v>11273.89</v>
      </c>
      <c r="AE23" s="59">
        <v>11273.89</v>
      </c>
      <c r="AF23" s="59">
        <v>11273.89</v>
      </c>
      <c r="AG23" s="59">
        <v>11273.89</v>
      </c>
      <c r="AH23" s="59"/>
      <c r="AI23" s="59"/>
      <c r="AJ23" s="59"/>
      <c r="AK23" s="59"/>
      <c r="AL23" s="59"/>
      <c r="AM23" s="59"/>
      <c r="AN23" s="59">
        <v>12836.49</v>
      </c>
      <c r="AO23" s="59">
        <v>13124.2</v>
      </c>
      <c r="AP23" s="59">
        <v>13755</v>
      </c>
      <c r="AQ23" s="59">
        <v>13755</v>
      </c>
      <c r="AR23" s="59">
        <v>13755</v>
      </c>
      <c r="AS23" s="59">
        <v>15375.21</v>
      </c>
      <c r="AT23" s="60" t="s">
        <v>53</v>
      </c>
      <c r="AU23" s="60" t="s">
        <v>53</v>
      </c>
      <c r="AV23" s="60" t="s">
        <v>53</v>
      </c>
      <c r="AW23" s="60" t="s">
        <v>53</v>
      </c>
      <c r="AX23" s="60" t="s">
        <v>53</v>
      </c>
      <c r="AY23" s="59">
        <v>-17550.150000000001</v>
      </c>
      <c r="AZ23" s="59">
        <v>-17550.150000000001</v>
      </c>
      <c r="BA23" s="59">
        <v>-17550.150000000001</v>
      </c>
      <c r="BB23" s="59">
        <v>-15778.35</v>
      </c>
      <c r="BC23" s="59">
        <v>-15778.35</v>
      </c>
      <c r="BD23" s="59">
        <v>-15778.35</v>
      </c>
      <c r="BE23" s="59">
        <v>-15778.35</v>
      </c>
      <c r="BF23" s="59">
        <v>-15191.85</v>
      </c>
      <c r="BG23" s="60" t="s">
        <v>53</v>
      </c>
      <c r="BH23" s="60" t="s">
        <v>53</v>
      </c>
      <c r="BI23" s="60" t="s">
        <v>53</v>
      </c>
      <c r="BJ23" s="60" t="s">
        <v>53</v>
      </c>
    </row>
    <row r="24" spans="3:62" ht="14.25" customHeight="1" x14ac:dyDescent="0.2"/>
    <row r="25" spans="3:62" ht="14.25" customHeight="1" x14ac:dyDescent="0.25">
      <c r="AN25" s="48"/>
      <c r="AO25" s="48"/>
    </row>
    <row r="26" spans="3:62" ht="14.25" customHeight="1" x14ac:dyDescent="0.25">
      <c r="AG26" s="61"/>
      <c r="AH26" s="61"/>
      <c r="AI26" s="61"/>
      <c r="AJ26" s="61"/>
      <c r="AK26" s="61"/>
      <c r="AL26" s="61"/>
      <c r="AM26" s="61"/>
      <c r="AW26" s="48"/>
    </row>
    <row r="27" spans="3:62" ht="14.25" customHeight="1" x14ac:dyDescent="0.2"/>
    <row r="28" spans="3:62" ht="14.25" customHeight="1" x14ac:dyDescent="0.2"/>
    <row r="29" spans="3:62" ht="14.25" customHeight="1" x14ac:dyDescent="0.2"/>
    <row r="30" spans="3:62" ht="14.25" customHeight="1" x14ac:dyDescent="0.25">
      <c r="AW30" s="48"/>
    </row>
    <row r="31" spans="3:62" ht="14.25" customHeight="1" x14ac:dyDescent="0.2"/>
    <row r="32" spans="3:6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5">
    <mergeCell ref="D1:J1"/>
    <mergeCell ref="P1:AA1"/>
    <mergeCell ref="AB1:AM1"/>
    <mergeCell ref="AN1:AO1"/>
    <mergeCell ref="AY1:BA1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C1000"/>
  <sheetViews>
    <sheetView workbookViewId="0"/>
  </sheetViews>
  <sheetFormatPr defaultColWidth="12.625" defaultRowHeight="15" customHeight="1" x14ac:dyDescent="0.2"/>
  <cols>
    <col min="1" max="2" width="7.625" customWidth="1"/>
    <col min="3" max="3" width="45.625" customWidth="1"/>
    <col min="4" max="6" width="13.25" customWidth="1"/>
    <col min="7" max="10" width="13.25" hidden="1" customWidth="1"/>
    <col min="11" max="11" width="13.625" hidden="1" customWidth="1"/>
    <col min="12" max="12" width="13.25" hidden="1" customWidth="1"/>
    <col min="13" max="13" width="13.375" hidden="1" customWidth="1"/>
    <col min="14" max="15" width="13.25" hidden="1" customWidth="1"/>
    <col min="16" max="18" width="13.25" customWidth="1"/>
    <col min="19" max="20" width="13.25" hidden="1" customWidth="1"/>
    <col min="21" max="22" width="12.875" hidden="1" customWidth="1"/>
    <col min="23" max="23" width="14.25" hidden="1" customWidth="1"/>
    <col min="24" max="25" width="12.875" hidden="1" customWidth="1"/>
    <col min="26" max="27" width="15.5" hidden="1" customWidth="1"/>
    <col min="28" max="33" width="13.75" hidden="1" customWidth="1"/>
    <col min="34" max="34" width="13" hidden="1" customWidth="1"/>
    <col min="35" max="36" width="13.25" hidden="1" customWidth="1"/>
    <col min="37" max="37" width="12" hidden="1" customWidth="1"/>
    <col min="38" max="38" width="9.5" hidden="1" customWidth="1"/>
    <col min="39" max="40" width="12.875" hidden="1" customWidth="1"/>
    <col min="41" max="41" width="10.5" hidden="1" customWidth="1"/>
    <col min="42" max="46" width="11.875" hidden="1" customWidth="1"/>
    <col min="47" max="47" width="12.5" hidden="1" customWidth="1"/>
    <col min="48" max="50" width="9.75" hidden="1" customWidth="1"/>
    <col min="51" max="55" width="7.625" customWidth="1"/>
  </cols>
  <sheetData>
    <row r="1" spans="1:55" ht="14.25" customHeight="1" x14ac:dyDescent="0.25">
      <c r="A1" s="1" t="s">
        <v>1</v>
      </c>
      <c r="D1" s="100">
        <v>2018</v>
      </c>
      <c r="E1" s="107"/>
      <c r="F1" s="107"/>
      <c r="G1" s="85"/>
      <c r="H1" s="30"/>
      <c r="I1" s="30"/>
      <c r="J1" s="30"/>
      <c r="K1" s="30"/>
      <c r="L1" s="30"/>
      <c r="M1" s="30"/>
      <c r="N1" s="30"/>
      <c r="O1" s="63"/>
      <c r="P1" s="102">
        <v>2017</v>
      </c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8"/>
      <c r="AB1" s="105"/>
      <c r="AC1" s="109"/>
      <c r="AD1" s="31"/>
      <c r="AE1" s="31"/>
      <c r="AF1" s="31"/>
      <c r="AG1" s="31"/>
      <c r="AH1" s="31"/>
      <c r="AI1" s="86"/>
      <c r="AJ1" s="87"/>
      <c r="AK1" s="87"/>
      <c r="AL1" s="87"/>
      <c r="AM1" s="104">
        <v>2015</v>
      </c>
      <c r="AN1" s="109"/>
      <c r="AO1" s="110"/>
      <c r="AP1" s="86"/>
      <c r="AQ1" s="32"/>
      <c r="AR1" s="87"/>
      <c r="AS1" s="87"/>
      <c r="AT1" s="86"/>
      <c r="AU1" s="86"/>
      <c r="AV1" s="86"/>
      <c r="AW1" s="86"/>
      <c r="AX1" s="87"/>
    </row>
    <row r="2" spans="1:55" ht="14.25" customHeight="1" x14ac:dyDescent="0.25">
      <c r="D2" s="5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14</v>
      </c>
      <c r="J2" s="5" t="s">
        <v>15</v>
      </c>
      <c r="K2" s="5" t="s">
        <v>5</v>
      </c>
      <c r="L2" s="5" t="s">
        <v>16</v>
      </c>
      <c r="M2" s="5" t="s">
        <v>17</v>
      </c>
      <c r="N2" s="5" t="s">
        <v>18</v>
      </c>
      <c r="O2" s="5" t="s">
        <v>19</v>
      </c>
      <c r="P2" s="35" t="s">
        <v>20</v>
      </c>
      <c r="Q2" s="35" t="s">
        <v>21</v>
      </c>
      <c r="R2" s="35" t="s">
        <v>22</v>
      </c>
      <c r="S2" s="35" t="s">
        <v>23</v>
      </c>
      <c r="T2" s="35" t="s">
        <v>24</v>
      </c>
      <c r="U2" s="35" t="s">
        <v>14</v>
      </c>
      <c r="V2" s="35" t="s">
        <v>15</v>
      </c>
      <c r="W2" s="35" t="s">
        <v>5</v>
      </c>
      <c r="X2" s="35" t="s">
        <v>16</v>
      </c>
      <c r="Y2" s="35" t="s">
        <v>17</v>
      </c>
      <c r="Z2" s="35" t="s">
        <v>18</v>
      </c>
      <c r="AA2" s="35" t="s">
        <v>19</v>
      </c>
      <c r="AB2" s="35" t="s">
        <v>21</v>
      </c>
      <c r="AC2" s="35" t="s">
        <v>22</v>
      </c>
      <c r="AD2" s="35" t="s">
        <v>23</v>
      </c>
      <c r="AE2" s="35" t="s">
        <v>24</v>
      </c>
      <c r="AF2" s="35" t="s">
        <v>14</v>
      </c>
      <c r="AG2" s="35" t="s">
        <v>15</v>
      </c>
      <c r="AH2" s="35" t="s">
        <v>5</v>
      </c>
      <c r="AI2" s="35" t="s">
        <v>16</v>
      </c>
      <c r="AJ2" s="35" t="s">
        <v>17</v>
      </c>
      <c r="AK2" s="35" t="s">
        <v>18</v>
      </c>
      <c r="AL2" s="35" t="s">
        <v>19</v>
      </c>
      <c r="AM2" s="35" t="s">
        <v>20</v>
      </c>
      <c r="AN2" s="35" t="s">
        <v>21</v>
      </c>
      <c r="AO2" s="35" t="s">
        <v>22</v>
      </c>
      <c r="AP2" s="35" t="s">
        <v>23</v>
      </c>
      <c r="AQ2" s="35" t="s">
        <v>24</v>
      </c>
      <c r="AR2" s="35" t="s">
        <v>14</v>
      </c>
      <c r="AS2" s="35" t="s">
        <v>15</v>
      </c>
      <c r="AT2" s="35" t="s">
        <v>5</v>
      </c>
      <c r="AU2" s="35" t="s">
        <v>16</v>
      </c>
      <c r="AV2" s="35" t="s">
        <v>17</v>
      </c>
      <c r="AW2" s="35" t="s">
        <v>18</v>
      </c>
      <c r="AX2" s="35" t="s">
        <v>19</v>
      </c>
    </row>
    <row r="3" spans="1:55" ht="14.25" customHeight="1" x14ac:dyDescent="0.25">
      <c r="C3" s="1" t="s">
        <v>59</v>
      </c>
      <c r="D3" s="1">
        <v>405</v>
      </c>
      <c r="E3" s="1">
        <v>407</v>
      </c>
      <c r="F3" s="1">
        <v>399</v>
      </c>
      <c r="G3" s="1">
        <v>396</v>
      </c>
      <c r="H3" s="1">
        <v>396</v>
      </c>
      <c r="I3" s="1">
        <v>397</v>
      </c>
      <c r="J3" s="1">
        <v>400</v>
      </c>
      <c r="K3" s="1">
        <v>395</v>
      </c>
      <c r="L3" s="1">
        <v>387</v>
      </c>
      <c r="M3" s="1">
        <v>385</v>
      </c>
      <c r="N3" s="1">
        <v>392</v>
      </c>
      <c r="O3" s="1">
        <v>397</v>
      </c>
      <c r="P3" s="1">
        <v>418</v>
      </c>
      <c r="Q3" s="1">
        <v>417</v>
      </c>
      <c r="R3" s="1">
        <v>421</v>
      </c>
      <c r="S3" s="1">
        <f>412+14</f>
        <v>426</v>
      </c>
      <c r="T3" s="1">
        <v>417</v>
      </c>
      <c r="U3" s="1">
        <v>424</v>
      </c>
      <c r="V3" s="1">
        <v>424</v>
      </c>
      <c r="W3" s="1">
        <v>420</v>
      </c>
      <c r="X3" s="1">
        <v>420</v>
      </c>
      <c r="Y3" s="1">
        <v>423</v>
      </c>
      <c r="Z3" s="1">
        <f>404+13</f>
        <v>417</v>
      </c>
      <c r="AA3" s="1">
        <v>421</v>
      </c>
      <c r="AB3" s="1">
        <v>451</v>
      </c>
      <c r="AC3" s="1">
        <f>433+13</f>
        <v>446</v>
      </c>
      <c r="AD3" s="1">
        <f>428+13</f>
        <v>441</v>
      </c>
      <c r="AE3" s="1">
        <v>439</v>
      </c>
      <c r="AF3" s="1">
        <v>431</v>
      </c>
      <c r="AG3" s="1">
        <v>440</v>
      </c>
      <c r="AH3" s="1">
        <v>445</v>
      </c>
      <c r="AI3" s="1">
        <v>441</v>
      </c>
      <c r="AJ3" s="1">
        <v>444</v>
      </c>
      <c r="AK3" s="1">
        <v>441</v>
      </c>
      <c r="AL3" s="1">
        <v>449</v>
      </c>
      <c r="AM3" s="1">
        <v>440</v>
      </c>
      <c r="AN3" s="1">
        <v>438</v>
      </c>
      <c r="AO3" s="1">
        <v>437</v>
      </c>
      <c r="AP3" s="1">
        <v>435</v>
      </c>
      <c r="AQ3" s="1">
        <v>433</v>
      </c>
      <c r="AR3" s="1">
        <v>432</v>
      </c>
      <c r="AS3" s="1">
        <v>430</v>
      </c>
      <c r="AT3" s="1">
        <v>428</v>
      </c>
      <c r="AU3" s="1">
        <v>430</v>
      </c>
      <c r="AV3" s="1">
        <v>426</v>
      </c>
      <c r="AW3" s="1">
        <v>428</v>
      </c>
      <c r="AX3" s="1">
        <v>439</v>
      </c>
    </row>
    <row r="4" spans="1:55" ht="14.25" customHeight="1" x14ac:dyDescent="0.25">
      <c r="C4" s="1" t="s">
        <v>28</v>
      </c>
      <c r="D4" s="23">
        <f>AVERAGE(D3:O3)</f>
        <v>396.33333333333331</v>
      </c>
      <c r="E4" s="23">
        <f>AVERAGE(E3:O3)</f>
        <v>395.54545454545456</v>
      </c>
      <c r="F4" s="23">
        <f>AVERAGE(F3:O3)</f>
        <v>394.4</v>
      </c>
      <c r="G4" s="23">
        <f>AVERAGE(G3:O3)</f>
        <v>393.88888888888891</v>
      </c>
      <c r="H4" s="23">
        <f>AVERAGE(H3:O3)</f>
        <v>393.625</v>
      </c>
      <c r="I4" s="23">
        <f>AVERAGE(I3:O3)</f>
        <v>393.28571428571428</v>
      </c>
      <c r="J4" s="23">
        <f>AVERAGE(J3:O3)</f>
        <v>392.66666666666669</v>
      </c>
      <c r="K4" s="23">
        <f>AVERAGE(K3:O3)</f>
        <v>391.2</v>
      </c>
      <c r="L4" s="23">
        <f>AVERAGE(L3:O3)</f>
        <v>390.25</v>
      </c>
      <c r="M4" s="23">
        <f>AVERAGE(M3:O3)</f>
        <v>391.33333333333331</v>
      </c>
      <c r="N4" s="23">
        <f>AVERAGE(N3:O3)</f>
        <v>394.5</v>
      </c>
      <c r="O4" s="23">
        <f>AVERAGE(O3)</f>
        <v>397</v>
      </c>
      <c r="P4" s="23">
        <f>AVERAGE(P3:AA3)</f>
        <v>420.66666666666669</v>
      </c>
      <c r="Q4" s="23">
        <f>AVERAGE(Q3:AA3)</f>
        <v>420.90909090909093</v>
      </c>
      <c r="R4" s="23">
        <f>AVERAGE(R3:AA3)</f>
        <v>421.3</v>
      </c>
      <c r="S4" s="23">
        <f>AVERAGE(S3:AA3)</f>
        <v>421.33333333333331</v>
      </c>
      <c r="T4" s="23">
        <f>AVERAGE(T3:AA3)</f>
        <v>420.75</v>
      </c>
      <c r="U4" s="23">
        <f>AVERAGE(U3:AA3)</f>
        <v>421.28571428571428</v>
      </c>
      <c r="V4" s="23">
        <f>AVERAGE(V3:AA3)</f>
        <v>420.83333333333331</v>
      </c>
      <c r="W4" s="23">
        <f>AVERAGE(W3:AA3)</f>
        <v>420.2</v>
      </c>
      <c r="X4" s="23">
        <f>AVERAGE(X3:AA3)</f>
        <v>420.25</v>
      </c>
      <c r="Y4" s="23">
        <f>AVERAGE(Y3:AA3)</f>
        <v>420.33333333333331</v>
      </c>
      <c r="Z4" s="23">
        <f>AVERAGE(Z3:AA3)</f>
        <v>419</v>
      </c>
      <c r="AA4" s="23">
        <f>AVERAGE(AA3)</f>
        <v>421</v>
      </c>
      <c r="AB4" s="23">
        <f>AVERAGE(AB3:AL3)</f>
        <v>442.54545454545456</v>
      </c>
      <c r="AC4" s="23">
        <f>AVERAGE(AC3:AL3)</f>
        <v>441.7</v>
      </c>
      <c r="AD4" s="23">
        <f>AVERAGE(AD3:AL3)</f>
        <v>441.22222222222223</v>
      </c>
      <c r="AE4" s="23">
        <f>AVERAGE(AE3:AL3)</f>
        <v>441.25</v>
      </c>
      <c r="AF4" s="23">
        <f>AVERAGE(AF3:AL3)</f>
        <v>441.57142857142856</v>
      </c>
      <c r="AG4" s="23">
        <f>AVERAGE(AG3:AL3)</f>
        <v>443.33333333333331</v>
      </c>
      <c r="AH4" s="23">
        <f>AVERAGE(AH3:AL3)</f>
        <v>444</v>
      </c>
      <c r="AI4" s="23">
        <f>AVERAGE(AI3:AL3)</f>
        <v>443.75</v>
      </c>
      <c r="AJ4" s="23">
        <f>AVERAGE(AJ3:AL3)</f>
        <v>444.66666666666669</v>
      </c>
      <c r="AK4" s="23">
        <f>AVERAGE(AK3:AL3)</f>
        <v>445</v>
      </c>
      <c r="AL4" s="23">
        <f>+AL3</f>
        <v>449</v>
      </c>
      <c r="AM4" s="23">
        <f>AVERAGE(AN3:AX3)</f>
        <v>432.36363636363637</v>
      </c>
      <c r="AN4" s="23">
        <f>AVERAGE(AN3:AX3)</f>
        <v>432.36363636363637</v>
      </c>
      <c r="AO4" s="23">
        <f>AVERAGE(AO3:AX3)</f>
        <v>431.8</v>
      </c>
      <c r="AP4" s="23">
        <f>AVERAGE(AP3:AX3)</f>
        <v>431.22222222222223</v>
      </c>
      <c r="AQ4" s="23">
        <f>AVERAGE(AQ3:AX3)</f>
        <v>430.75</v>
      </c>
      <c r="AR4" s="23">
        <f>AVERAGE(AR3:AX3)</f>
        <v>430.42857142857144</v>
      </c>
      <c r="AS4" s="23">
        <f>AVERAGE(AS3:AX3)</f>
        <v>430.16666666666669</v>
      </c>
      <c r="AT4" s="23">
        <f>AVERAGE(AT3:AX3)</f>
        <v>430.2</v>
      </c>
      <c r="AU4" s="23">
        <f>AVERAGE(AU3:AX3)</f>
        <v>430.75</v>
      </c>
      <c r="AV4" s="23">
        <f t="shared" ref="AV4:AW4" si="0">AVERAGE(AV3:AW3)</f>
        <v>427</v>
      </c>
      <c r="AW4" s="23">
        <f t="shared" si="0"/>
        <v>433.5</v>
      </c>
      <c r="AX4" s="1">
        <f>+AX3</f>
        <v>439</v>
      </c>
    </row>
    <row r="5" spans="1:55" ht="14.25" customHeight="1" x14ac:dyDescent="0.25">
      <c r="C5" s="1" t="s">
        <v>30</v>
      </c>
      <c r="D5" s="1">
        <v>415</v>
      </c>
      <c r="E5" s="1">
        <v>415</v>
      </c>
      <c r="F5" s="1">
        <v>415</v>
      </c>
      <c r="G5" s="1">
        <v>415</v>
      </c>
      <c r="H5" s="1">
        <v>415</v>
      </c>
      <c r="I5" s="1">
        <v>415</v>
      </c>
      <c r="J5" s="1">
        <v>415</v>
      </c>
      <c r="K5" s="1">
        <v>415</v>
      </c>
      <c r="L5" s="1">
        <v>415</v>
      </c>
      <c r="M5" s="1">
        <v>415</v>
      </c>
      <c r="N5" s="1">
        <v>415</v>
      </c>
      <c r="O5" s="1">
        <v>415</v>
      </c>
      <c r="P5" s="1">
        <v>445</v>
      </c>
      <c r="Q5" s="1">
        <v>445</v>
      </c>
      <c r="R5" s="1">
        <v>445</v>
      </c>
      <c r="S5" s="1">
        <v>445</v>
      </c>
      <c r="T5" s="1">
        <v>445</v>
      </c>
      <c r="U5" s="1">
        <v>445</v>
      </c>
      <c r="V5" s="1">
        <v>445</v>
      </c>
      <c r="W5" s="1">
        <v>445</v>
      </c>
      <c r="X5" s="1">
        <v>445</v>
      </c>
      <c r="Y5" s="1">
        <v>445</v>
      </c>
      <c r="Z5" s="1">
        <v>445</v>
      </c>
      <c r="AA5" s="1">
        <v>445</v>
      </c>
      <c r="AB5" s="1">
        <v>461</v>
      </c>
      <c r="AC5" s="1">
        <v>461</v>
      </c>
      <c r="AD5" s="1">
        <v>461</v>
      </c>
      <c r="AE5" s="1">
        <v>461</v>
      </c>
      <c r="AF5" s="1">
        <v>461</v>
      </c>
      <c r="AG5" s="1">
        <v>461</v>
      </c>
      <c r="AH5" s="1">
        <v>461</v>
      </c>
      <c r="AI5" s="1">
        <v>461</v>
      </c>
      <c r="AJ5" s="1">
        <v>461</v>
      </c>
      <c r="AK5" s="1">
        <v>461</v>
      </c>
      <c r="AL5" s="1">
        <v>461</v>
      </c>
      <c r="AM5" s="1">
        <v>460</v>
      </c>
      <c r="AN5" s="1">
        <v>460</v>
      </c>
      <c r="AO5" s="1">
        <v>460</v>
      </c>
      <c r="AP5" s="1">
        <v>460</v>
      </c>
      <c r="AQ5" s="1">
        <v>460</v>
      </c>
      <c r="AR5" s="1">
        <v>460</v>
      </c>
      <c r="AS5" s="1">
        <v>460</v>
      </c>
      <c r="AT5" s="1">
        <v>460</v>
      </c>
      <c r="AU5" s="1">
        <v>460</v>
      </c>
      <c r="AV5" s="1">
        <v>460</v>
      </c>
      <c r="AW5" s="1">
        <v>460</v>
      </c>
      <c r="AX5" s="1">
        <v>460</v>
      </c>
    </row>
    <row r="6" spans="1:55" ht="14.25" customHeight="1" x14ac:dyDescent="0.25">
      <c r="C6" s="1" t="s">
        <v>32</v>
      </c>
      <c r="D6" s="23">
        <f t="shared" ref="D6:AX6" si="1">+D4-D5</f>
        <v>-18.666666666666686</v>
      </c>
      <c r="E6" s="23">
        <f t="shared" si="1"/>
        <v>-19.454545454545439</v>
      </c>
      <c r="F6" s="23">
        <f t="shared" si="1"/>
        <v>-20.600000000000023</v>
      </c>
      <c r="G6" s="23">
        <f t="shared" si="1"/>
        <v>-21.111111111111086</v>
      </c>
      <c r="H6" s="23">
        <f t="shared" si="1"/>
        <v>-21.375</v>
      </c>
      <c r="I6" s="23">
        <f t="shared" si="1"/>
        <v>-21.714285714285722</v>
      </c>
      <c r="J6" s="23">
        <f t="shared" si="1"/>
        <v>-22.333333333333314</v>
      </c>
      <c r="K6" s="23">
        <f t="shared" si="1"/>
        <v>-23.800000000000011</v>
      </c>
      <c r="L6" s="23">
        <f t="shared" si="1"/>
        <v>-24.75</v>
      </c>
      <c r="M6" s="23">
        <f t="shared" si="1"/>
        <v>-23.666666666666686</v>
      </c>
      <c r="N6" s="23">
        <f t="shared" si="1"/>
        <v>-20.5</v>
      </c>
      <c r="O6" s="23">
        <f t="shared" si="1"/>
        <v>-18</v>
      </c>
      <c r="P6" s="23">
        <f t="shared" si="1"/>
        <v>-24.333333333333314</v>
      </c>
      <c r="Q6" s="23">
        <f t="shared" si="1"/>
        <v>-24.090909090909065</v>
      </c>
      <c r="R6" s="23">
        <f t="shared" si="1"/>
        <v>-23.699999999999989</v>
      </c>
      <c r="S6" s="23">
        <f t="shared" si="1"/>
        <v>-23.666666666666686</v>
      </c>
      <c r="T6" s="23">
        <f t="shared" si="1"/>
        <v>-24.25</v>
      </c>
      <c r="U6" s="23">
        <f t="shared" si="1"/>
        <v>-23.714285714285722</v>
      </c>
      <c r="V6" s="23">
        <f t="shared" si="1"/>
        <v>-24.166666666666686</v>
      </c>
      <c r="W6" s="23">
        <f t="shared" si="1"/>
        <v>-24.800000000000011</v>
      </c>
      <c r="X6" s="23">
        <f t="shared" si="1"/>
        <v>-24.75</v>
      </c>
      <c r="Y6" s="23">
        <f t="shared" si="1"/>
        <v>-24.666666666666686</v>
      </c>
      <c r="Z6" s="23">
        <f t="shared" si="1"/>
        <v>-26</v>
      </c>
      <c r="AA6" s="23">
        <f t="shared" si="1"/>
        <v>-24</v>
      </c>
      <c r="AB6" s="23">
        <f t="shared" si="1"/>
        <v>-18.454545454545439</v>
      </c>
      <c r="AC6" s="23">
        <f t="shared" si="1"/>
        <v>-19.300000000000011</v>
      </c>
      <c r="AD6" s="23">
        <f t="shared" si="1"/>
        <v>-19.777777777777771</v>
      </c>
      <c r="AE6" s="23">
        <f t="shared" si="1"/>
        <v>-19.75</v>
      </c>
      <c r="AF6" s="23">
        <f t="shared" si="1"/>
        <v>-19.428571428571445</v>
      </c>
      <c r="AG6" s="23">
        <f t="shared" si="1"/>
        <v>-17.666666666666686</v>
      </c>
      <c r="AH6" s="23">
        <f t="shared" si="1"/>
        <v>-17</v>
      </c>
      <c r="AI6" s="23">
        <f t="shared" si="1"/>
        <v>-17.25</v>
      </c>
      <c r="AJ6" s="23">
        <f t="shared" si="1"/>
        <v>-16.333333333333314</v>
      </c>
      <c r="AK6" s="23">
        <f t="shared" si="1"/>
        <v>-16</v>
      </c>
      <c r="AL6" s="23">
        <f t="shared" si="1"/>
        <v>-12</v>
      </c>
      <c r="AM6" s="23">
        <f t="shared" si="1"/>
        <v>-27.636363636363626</v>
      </c>
      <c r="AN6" s="23">
        <f t="shared" si="1"/>
        <v>-27.636363636363626</v>
      </c>
      <c r="AO6" s="23">
        <f t="shared" si="1"/>
        <v>-28.199999999999989</v>
      </c>
      <c r="AP6" s="23">
        <f t="shared" si="1"/>
        <v>-28.777777777777771</v>
      </c>
      <c r="AQ6" s="23">
        <f t="shared" si="1"/>
        <v>-29.25</v>
      </c>
      <c r="AR6" s="23">
        <f t="shared" si="1"/>
        <v>-29.571428571428555</v>
      </c>
      <c r="AS6" s="23">
        <f t="shared" si="1"/>
        <v>-29.833333333333314</v>
      </c>
      <c r="AT6" s="23">
        <f t="shared" si="1"/>
        <v>-29.800000000000011</v>
      </c>
      <c r="AU6" s="23">
        <f t="shared" si="1"/>
        <v>-29.25</v>
      </c>
      <c r="AV6" s="23">
        <f t="shared" si="1"/>
        <v>-33</v>
      </c>
      <c r="AW6" s="23">
        <f t="shared" si="1"/>
        <v>-26.5</v>
      </c>
      <c r="AX6" s="23">
        <f t="shared" si="1"/>
        <v>-21</v>
      </c>
    </row>
    <row r="7" spans="1:55" ht="14.25" customHeight="1" x14ac:dyDescent="0.25">
      <c r="C7" s="1" t="s">
        <v>34</v>
      </c>
      <c r="D7" s="24">
        <f t="shared" ref="D7:AX7" si="2">+D6*168</f>
        <v>-3136.0000000000032</v>
      </c>
      <c r="E7" s="24">
        <f t="shared" si="2"/>
        <v>-3268.3636363636338</v>
      </c>
      <c r="F7" s="24">
        <f t="shared" si="2"/>
        <v>-3460.8000000000038</v>
      </c>
      <c r="G7" s="24">
        <f t="shared" si="2"/>
        <v>-3546.6666666666624</v>
      </c>
      <c r="H7" s="24">
        <f t="shared" si="2"/>
        <v>-3591</v>
      </c>
      <c r="I7" s="24">
        <f t="shared" si="2"/>
        <v>-3648.0000000000014</v>
      </c>
      <c r="J7" s="24">
        <f t="shared" si="2"/>
        <v>-3751.9999999999968</v>
      </c>
      <c r="K7" s="24">
        <f t="shared" si="2"/>
        <v>-3998.4000000000019</v>
      </c>
      <c r="L7" s="24">
        <f t="shared" si="2"/>
        <v>-4158</v>
      </c>
      <c r="M7" s="24">
        <f t="shared" si="2"/>
        <v>-3976.0000000000032</v>
      </c>
      <c r="N7" s="24">
        <f t="shared" si="2"/>
        <v>-3444</v>
      </c>
      <c r="O7" s="24">
        <f t="shared" si="2"/>
        <v>-3024</v>
      </c>
      <c r="P7" s="24">
        <f t="shared" si="2"/>
        <v>-4087.9999999999968</v>
      </c>
      <c r="Q7" s="24">
        <f t="shared" si="2"/>
        <v>-4047.2727272727229</v>
      </c>
      <c r="R7" s="24">
        <f t="shared" si="2"/>
        <v>-3981.5999999999981</v>
      </c>
      <c r="S7" s="24">
        <f t="shared" si="2"/>
        <v>-3976.0000000000032</v>
      </c>
      <c r="T7" s="24">
        <f t="shared" si="2"/>
        <v>-4074</v>
      </c>
      <c r="U7" s="24">
        <f t="shared" si="2"/>
        <v>-3984.0000000000014</v>
      </c>
      <c r="V7" s="24">
        <f t="shared" si="2"/>
        <v>-4060.0000000000032</v>
      </c>
      <c r="W7" s="24">
        <f t="shared" si="2"/>
        <v>-4166.4000000000015</v>
      </c>
      <c r="X7" s="24">
        <f t="shared" si="2"/>
        <v>-4158</v>
      </c>
      <c r="Y7" s="24">
        <f t="shared" si="2"/>
        <v>-4144.0000000000036</v>
      </c>
      <c r="Z7" s="24">
        <f t="shared" si="2"/>
        <v>-4368</v>
      </c>
      <c r="AA7" s="24">
        <f t="shared" si="2"/>
        <v>-4032</v>
      </c>
      <c r="AB7" s="24">
        <f t="shared" si="2"/>
        <v>-3100.3636363636338</v>
      </c>
      <c r="AC7" s="24">
        <f t="shared" si="2"/>
        <v>-3242.4000000000019</v>
      </c>
      <c r="AD7" s="24">
        <f t="shared" si="2"/>
        <v>-3322.6666666666656</v>
      </c>
      <c r="AE7" s="24">
        <f t="shared" si="2"/>
        <v>-3318</v>
      </c>
      <c r="AF7" s="24">
        <f t="shared" si="2"/>
        <v>-3264.0000000000027</v>
      </c>
      <c r="AG7" s="24">
        <f t="shared" si="2"/>
        <v>-2968.0000000000032</v>
      </c>
      <c r="AH7" s="24">
        <f t="shared" si="2"/>
        <v>-2856</v>
      </c>
      <c r="AI7" s="24">
        <f t="shared" si="2"/>
        <v>-2898</v>
      </c>
      <c r="AJ7" s="24">
        <f t="shared" si="2"/>
        <v>-2743.9999999999968</v>
      </c>
      <c r="AK7" s="24">
        <f t="shared" si="2"/>
        <v>-2688</v>
      </c>
      <c r="AL7" s="24">
        <f t="shared" si="2"/>
        <v>-2016</v>
      </c>
      <c r="AM7" s="24">
        <f t="shared" si="2"/>
        <v>-4642.9090909090892</v>
      </c>
      <c r="AN7" s="24">
        <f t="shared" si="2"/>
        <v>-4642.9090909090892</v>
      </c>
      <c r="AO7" s="24">
        <f t="shared" si="2"/>
        <v>-4737.5999999999985</v>
      </c>
      <c r="AP7" s="24">
        <f t="shared" si="2"/>
        <v>-4834.6666666666661</v>
      </c>
      <c r="AQ7" s="24">
        <f t="shared" si="2"/>
        <v>-4914</v>
      </c>
      <c r="AR7" s="24">
        <f t="shared" si="2"/>
        <v>-4967.9999999999973</v>
      </c>
      <c r="AS7" s="24">
        <f t="shared" si="2"/>
        <v>-5011.9999999999964</v>
      </c>
      <c r="AT7" s="24">
        <f t="shared" si="2"/>
        <v>-5006.4000000000015</v>
      </c>
      <c r="AU7" s="24">
        <f t="shared" si="2"/>
        <v>-4914</v>
      </c>
      <c r="AV7" s="24">
        <f t="shared" si="2"/>
        <v>-5544</v>
      </c>
      <c r="AW7" s="24">
        <f t="shared" si="2"/>
        <v>-4452</v>
      </c>
      <c r="AX7" s="24">
        <f t="shared" si="2"/>
        <v>-3528</v>
      </c>
    </row>
    <row r="8" spans="1:55" ht="14.25" customHeight="1" x14ac:dyDescent="0.2"/>
    <row r="9" spans="1:55" ht="14.25" customHeight="1" x14ac:dyDescent="0.25">
      <c r="C9" s="1" t="s">
        <v>60</v>
      </c>
      <c r="D9" s="25">
        <f>(154801.49-68573.91-39133-19800)</f>
        <v>27294.579999999987</v>
      </c>
      <c r="E9" s="25">
        <f>(153315.22-68538.91-39133-19950)</f>
        <v>25693.309999999998</v>
      </c>
      <c r="F9" s="25">
        <f>(151296.12-68272.91-39133-19762.5)</f>
        <v>24127.709999999992</v>
      </c>
      <c r="G9" s="25">
        <f>(147112.31-67824.91-39133-19550)</f>
        <v>20604.399999999994</v>
      </c>
      <c r="H9" s="25">
        <f>(142407.77-39133-66893.91-19387.5)</f>
        <v>16993.359999999986</v>
      </c>
      <c r="I9" s="25">
        <f>(139856.59-39133-66263.91-19062.5)</f>
        <v>15397.179999999993</v>
      </c>
      <c r="J9" s="25">
        <f>(136007.43-39133-64842.16-18587.5)</f>
        <v>13444.76999999999</v>
      </c>
      <c r="K9" s="25">
        <f>(131771.28-63099-39133-17437.5)</f>
        <v>12101.779999999999</v>
      </c>
      <c r="L9" s="25">
        <f>(125494.11-39091-60656.16-16737.5)</f>
        <v>9009.4499999999971</v>
      </c>
      <c r="M9" s="25">
        <f>(111292.57-57086.5-15950-31766)</f>
        <v>6490.070000000007</v>
      </c>
      <c r="N9" s="25">
        <f>(80242.26-8204-15400-52420.59)</f>
        <v>4217.6699999999983</v>
      </c>
      <c r="O9" s="25">
        <f>(64009.71-13787.5-47447.59)</f>
        <v>2774.6200000000026</v>
      </c>
      <c r="P9" s="53">
        <v>31472.04</v>
      </c>
      <c r="Q9" s="53">
        <v>30311.14</v>
      </c>
      <c r="R9" s="53">
        <v>28557.37</v>
      </c>
      <c r="S9" s="53">
        <v>27103.56</v>
      </c>
      <c r="T9" s="53">
        <v>24629.8</v>
      </c>
      <c r="U9" s="48">
        <f>152288.03-70003.48-19432.5-39847</f>
        <v>23005.050000000003</v>
      </c>
      <c r="V9" s="48">
        <f>147875.59-39847-68561.48-18545</f>
        <v>20922.11</v>
      </c>
      <c r="W9" s="48">
        <f>137852.19-67063.48-17420-36040</f>
        <v>17328.710000000006</v>
      </c>
      <c r="X9" s="48">
        <f>127375.56-29573-65297.23-17057.5</f>
        <v>15447.829999999994</v>
      </c>
      <c r="Y9" s="48">
        <f>100592.34-62570.56-16307.5-8244</f>
        <v>13470.279999999999</v>
      </c>
      <c r="Z9" s="48">
        <f>80791.57-56664.15-15745</f>
        <v>8382.4200000000055</v>
      </c>
      <c r="AA9" s="48">
        <f>70654.5-14395-50670.65</f>
        <v>5588.8499999999985</v>
      </c>
      <c r="AB9" s="48">
        <f>186541.69-50742-73758.84-21200</f>
        <v>40840.850000000006</v>
      </c>
      <c r="AC9" s="48">
        <f>179593.44-50742-73555.84-21187.5</f>
        <v>34108.100000000006</v>
      </c>
      <c r="AD9" s="48">
        <f>168214.77-73037.84-21062.5-50742</f>
        <v>23372.429999999993</v>
      </c>
      <c r="AE9" s="48">
        <f>165275.02-50742-72421.84-20762.5</f>
        <v>21348.679999999993</v>
      </c>
      <c r="AF9" s="48">
        <f>161997.84-50677-20625-71189.84</f>
        <v>19506</v>
      </c>
      <c r="AG9" s="48">
        <f>158489.58-50677-69999.84-19787.5</f>
        <v>18025.239999999991</v>
      </c>
      <c r="AH9" s="48">
        <f>152773.52-18587.5-68899.94-49811</f>
        <v>15475.079999999987</v>
      </c>
      <c r="AI9" s="48">
        <f>142850.75-43480-66953.84-18050</f>
        <v>14366.910000000003</v>
      </c>
      <c r="AJ9" s="48">
        <f>117858.96-25433-64007.84-17262.5</f>
        <v>11155.62000000001</v>
      </c>
      <c r="AK9" s="48">
        <f>103380.46-19355-60530.17-16575</f>
        <v>6920.2900000000081</v>
      </c>
      <c r="AL9" s="48">
        <f>91409.49-17515-53484.25-14875</f>
        <v>5535.2400000000052</v>
      </c>
      <c r="BC9" s="1" t="s">
        <v>37</v>
      </c>
    </row>
    <row r="10" spans="1:55" ht="14.25" customHeight="1" x14ac:dyDescent="0.25">
      <c r="C10" s="1" t="s">
        <v>58</v>
      </c>
      <c r="D10" s="26">
        <f>(161708-73902-42162-20000)/12*12</f>
        <v>25644</v>
      </c>
      <c r="E10" s="26">
        <f>(161708-73902-42162-20000)/12*11</f>
        <v>23507</v>
      </c>
      <c r="F10" s="26">
        <f>(161708-73902-42162-20000)/12*10</f>
        <v>21370</v>
      </c>
      <c r="G10" s="26">
        <f>(161708-73902-42162-20000)/12*9</f>
        <v>19233</v>
      </c>
      <c r="H10" s="26">
        <f>(161708-73902-42162-20000)/12*8</f>
        <v>17096</v>
      </c>
      <c r="I10" s="26">
        <f>(161708-73902-42162-20000)/12*7</f>
        <v>14959</v>
      </c>
      <c r="J10" s="26">
        <f>(161708-73902-42162-20000)/12*6</f>
        <v>12822</v>
      </c>
      <c r="K10" s="26">
        <f>(161708-73902-42162-20000)/12*5</f>
        <v>10685</v>
      </c>
      <c r="L10" s="26">
        <f>(161708-73902-42162-20000)/12*4</f>
        <v>8548</v>
      </c>
      <c r="M10" s="26">
        <f>(161708-73902-42162-20000)/12*3</f>
        <v>6411</v>
      </c>
      <c r="N10" s="26">
        <f>(161708-73902-42162-20000)/12*2</f>
        <v>4274</v>
      </c>
      <c r="O10" s="26">
        <f>(161708-73902-42162-20000)/12*1</f>
        <v>2137</v>
      </c>
      <c r="P10" s="53">
        <f>(174743-45101-78942-20000)/12*12</f>
        <v>30700</v>
      </c>
      <c r="Q10" s="53">
        <f>(174743-45101-78942-20000)/12*11</f>
        <v>28141.666666666668</v>
      </c>
      <c r="R10" s="53">
        <f>(174743-45101-78942-20000)/12*10</f>
        <v>25583.333333333336</v>
      </c>
      <c r="S10" s="53">
        <f>(174743-45101-78942-20000)/12*9</f>
        <v>23025</v>
      </c>
      <c r="T10" s="53">
        <f>(174743-45101-78942-20000)/12*8</f>
        <v>20466.666666666668</v>
      </c>
      <c r="U10" s="48">
        <f>(174743-45101-78942-20000)/12*7</f>
        <v>17908.333333333336</v>
      </c>
      <c r="V10" s="48">
        <f>(174743-45101-78942-20000)/12*6</f>
        <v>15350</v>
      </c>
      <c r="W10" s="48">
        <f>(174743-45101-78942-20000)/12*5</f>
        <v>12791.666666666668</v>
      </c>
      <c r="X10" s="48">
        <f>(174743-45101-78942-20000)/12*4</f>
        <v>10233.333333333334</v>
      </c>
      <c r="Y10" s="48">
        <f>(174743-45101-78942-20000)/12*3</f>
        <v>7675</v>
      </c>
      <c r="Z10" s="48">
        <f>(174743-45101-78942-20000)/12*2</f>
        <v>5116.666666666667</v>
      </c>
      <c r="AA10" s="48">
        <f>(174743-45101-78942-20000)/12</f>
        <v>2558.3333333333335</v>
      </c>
      <c r="AB10" s="48">
        <f>(58217-18000)/12*11</f>
        <v>36865.583333333328</v>
      </c>
      <c r="AC10" s="48">
        <f>(58217-18000)/12*10</f>
        <v>33514.166666666664</v>
      </c>
      <c r="AD10" s="48">
        <f>(58217-18000)/12*9</f>
        <v>30162.75</v>
      </c>
      <c r="AE10" s="48">
        <f>(58217-18000)/12*8</f>
        <v>26811.333333333332</v>
      </c>
      <c r="AF10" s="48">
        <f>(58217-18000)/12*7</f>
        <v>23459.916666666664</v>
      </c>
      <c r="AG10" s="48">
        <f>(58217-18000)/12*6</f>
        <v>20108.5</v>
      </c>
      <c r="AH10" s="48">
        <f>(58217-18000)/12*5</f>
        <v>16757.083333333332</v>
      </c>
      <c r="AI10" s="48">
        <f>(58217-18000)/12*4</f>
        <v>13405.666666666666</v>
      </c>
      <c r="AJ10" s="48">
        <f>(58217-18000)/12*3</f>
        <v>10054.25</v>
      </c>
      <c r="AK10" s="48">
        <f>(58217-18000)/12*2</f>
        <v>6702.833333333333</v>
      </c>
      <c r="AL10" s="48">
        <f>(58217-18000)/12</f>
        <v>3351.4166666666665</v>
      </c>
    </row>
    <row r="11" spans="1:55" ht="14.25" customHeight="1" x14ac:dyDescent="0.25">
      <c r="C11" s="1" t="s">
        <v>40</v>
      </c>
      <c r="D11" s="24">
        <f t="shared" ref="D11:AL11" si="3">+D9-D10</f>
        <v>1650.5799999999872</v>
      </c>
      <c r="E11" s="24">
        <f t="shared" si="3"/>
        <v>2186.3099999999977</v>
      </c>
      <c r="F11" s="24">
        <f t="shared" si="3"/>
        <v>2757.7099999999919</v>
      </c>
      <c r="G11" s="24">
        <f t="shared" si="3"/>
        <v>1371.3999999999942</v>
      </c>
      <c r="H11" s="24">
        <f t="shared" si="3"/>
        <v>-102.64000000001397</v>
      </c>
      <c r="I11" s="24">
        <f t="shared" si="3"/>
        <v>438.17999999999302</v>
      </c>
      <c r="J11" s="24">
        <f t="shared" si="3"/>
        <v>622.76999999998952</v>
      </c>
      <c r="K11" s="24">
        <f t="shared" si="3"/>
        <v>1416.7799999999988</v>
      </c>
      <c r="L11" s="24">
        <f t="shared" si="3"/>
        <v>461.44999999999709</v>
      </c>
      <c r="M11" s="24">
        <f t="shared" si="3"/>
        <v>79.070000000006985</v>
      </c>
      <c r="N11" s="24">
        <f t="shared" si="3"/>
        <v>-56.330000000001746</v>
      </c>
      <c r="O11" s="24">
        <f t="shared" si="3"/>
        <v>637.62000000000262</v>
      </c>
      <c r="P11" s="24">
        <f t="shared" si="3"/>
        <v>772.04000000000087</v>
      </c>
      <c r="Q11" s="24">
        <f t="shared" si="3"/>
        <v>2169.4733333333315</v>
      </c>
      <c r="R11" s="24">
        <f t="shared" si="3"/>
        <v>2974.0366666666632</v>
      </c>
      <c r="S11" s="24">
        <f t="shared" si="3"/>
        <v>4078.5600000000013</v>
      </c>
      <c r="T11" s="24">
        <f t="shared" si="3"/>
        <v>4163.1333333333314</v>
      </c>
      <c r="U11" s="24">
        <f t="shared" si="3"/>
        <v>5096.7166666666672</v>
      </c>
      <c r="V11" s="24">
        <f t="shared" si="3"/>
        <v>5572.1100000000006</v>
      </c>
      <c r="W11" s="24">
        <f t="shared" si="3"/>
        <v>4537.0433333333385</v>
      </c>
      <c r="X11" s="24">
        <f t="shared" si="3"/>
        <v>5214.4966666666605</v>
      </c>
      <c r="Y11" s="24">
        <f t="shared" si="3"/>
        <v>5795.2799999999988</v>
      </c>
      <c r="Z11" s="24">
        <f t="shared" si="3"/>
        <v>3265.7533333333386</v>
      </c>
      <c r="AA11" s="24">
        <f t="shared" si="3"/>
        <v>3030.5166666666651</v>
      </c>
      <c r="AB11" s="24">
        <f t="shared" si="3"/>
        <v>3975.2666666666773</v>
      </c>
      <c r="AC11" s="24">
        <f t="shared" si="3"/>
        <v>593.93333333334158</v>
      </c>
      <c r="AD11" s="24">
        <f t="shared" si="3"/>
        <v>-6790.320000000007</v>
      </c>
      <c r="AE11" s="24">
        <f t="shared" si="3"/>
        <v>-5462.6533333333391</v>
      </c>
      <c r="AF11" s="24">
        <f t="shared" si="3"/>
        <v>-3953.9166666666642</v>
      </c>
      <c r="AG11" s="24">
        <f t="shared" si="3"/>
        <v>-2083.2600000000093</v>
      </c>
      <c r="AH11" s="24">
        <f t="shared" si="3"/>
        <v>-1282.0033333333449</v>
      </c>
      <c r="AI11" s="24">
        <f t="shared" si="3"/>
        <v>961.24333333333743</v>
      </c>
      <c r="AJ11" s="24">
        <f t="shared" si="3"/>
        <v>1101.3700000000099</v>
      </c>
      <c r="AK11" s="24">
        <f t="shared" si="3"/>
        <v>217.45666666667512</v>
      </c>
      <c r="AL11" s="24">
        <f t="shared" si="3"/>
        <v>2183.8233333333387</v>
      </c>
    </row>
    <row r="12" spans="1:55" ht="14.25" customHeight="1" x14ac:dyDescent="0.25"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</row>
    <row r="13" spans="1:55" ht="14.25" customHeight="1" x14ac:dyDescent="0.25">
      <c r="C13" s="1" t="s">
        <v>61</v>
      </c>
      <c r="D13" s="26">
        <f>(135067.49-23755.84)</f>
        <v>111311.65</v>
      </c>
      <c r="E13" s="26">
        <f>(125182.71-23755.84)</f>
        <v>101426.87000000001</v>
      </c>
      <c r="F13" s="26">
        <f>(116596.59-23755.84)</f>
        <v>92840.75</v>
      </c>
      <c r="G13" s="26">
        <f>(106649.09-23755.84)</f>
        <v>82893.25</v>
      </c>
      <c r="H13" s="26">
        <f>(96846.84-23755.84)</f>
        <v>73091</v>
      </c>
      <c r="I13" s="26">
        <f>(88425.34-23755.84)</f>
        <v>64669.5</v>
      </c>
      <c r="J13" s="26">
        <f>(77233.86-23755.84)</f>
        <v>53478.020000000004</v>
      </c>
      <c r="K13" s="26">
        <f>(53834.91-8057.02)</f>
        <v>45777.89</v>
      </c>
      <c r="L13" s="26">
        <f>(44391.49-7344.94)</f>
        <v>37046.549999999996</v>
      </c>
      <c r="M13" s="26">
        <f>(27338.65-1526.32)</f>
        <v>25812.33</v>
      </c>
      <c r="N13" s="26">
        <f>(19258.71-1288.57)</f>
        <v>17970.14</v>
      </c>
      <c r="O13" s="26">
        <f>(10649.99-506.65)</f>
        <v>10143.34</v>
      </c>
      <c r="P13" s="48">
        <v>115540.4</v>
      </c>
      <c r="Q13" s="48">
        <v>104659.05</v>
      </c>
      <c r="R13" s="48">
        <v>95877.11</v>
      </c>
      <c r="S13" s="48">
        <v>86530.68</v>
      </c>
      <c r="T13" s="48">
        <v>78335.34</v>
      </c>
      <c r="U13" s="48">
        <f>98543.87-28573.11</f>
        <v>69970.759999999995</v>
      </c>
      <c r="V13" s="48">
        <f>68115.97-9005.62</f>
        <v>59110.35</v>
      </c>
      <c r="W13" s="48">
        <f>51337.23-2013.16</f>
        <v>49324.07</v>
      </c>
      <c r="X13" s="48">
        <f>41173.06-1105.92</f>
        <v>40067.14</v>
      </c>
      <c r="Y13" s="48">
        <f>31849.6-797.94</f>
        <v>31051.66</v>
      </c>
      <c r="Z13" s="48">
        <f>21770.23-197.94</f>
        <v>21572.29</v>
      </c>
      <c r="AA13" s="48">
        <f>13700.23-197.94</f>
        <v>13502.289999999999</v>
      </c>
      <c r="AB13" s="48">
        <f>141771.38-37905.51</f>
        <v>103865.87</v>
      </c>
      <c r="AC13" s="48">
        <f>131940.21-37617.8</f>
        <v>94322.409999999989</v>
      </c>
      <c r="AD13" s="48">
        <f>123167.82-36987</f>
        <v>86180.82</v>
      </c>
      <c r="AE13" s="48">
        <f>115581.16-36987</f>
        <v>78594.16</v>
      </c>
      <c r="AF13" s="48">
        <f>100991.76-36987</f>
        <v>64004.759999999995</v>
      </c>
      <c r="AG13" s="48">
        <f>89873.8-35301.79</f>
        <v>54572.01</v>
      </c>
      <c r="AH13" s="48">
        <f>57686.79-10566.83</f>
        <v>47119.96</v>
      </c>
      <c r="AI13" s="48">
        <f>46573.23-7698.84</f>
        <v>38874.39</v>
      </c>
      <c r="AJ13" s="48">
        <f>35702.89-6835.98</f>
        <v>28866.91</v>
      </c>
      <c r="AK13" s="48">
        <f>15509.91-392.48</f>
        <v>15117.43</v>
      </c>
      <c r="AL13" s="48">
        <f>9727.03-198.3</f>
        <v>9528.7300000000014</v>
      </c>
      <c r="AM13" s="48">
        <f>165283.61-55089.91</f>
        <v>110193.69999999998</v>
      </c>
      <c r="AN13" s="48">
        <f>154985.88-55089.91</f>
        <v>99895.97</v>
      </c>
      <c r="AO13" s="48">
        <f>147908.73-55089.91</f>
        <v>92818.82</v>
      </c>
      <c r="AP13" s="48">
        <f>137385.94-53318.11</f>
        <v>84067.83</v>
      </c>
      <c r="AQ13" s="48">
        <f>129017.7-53318.11</f>
        <v>75699.59</v>
      </c>
      <c r="AR13" s="48">
        <f>120422.8-53318.11</f>
        <v>67104.69</v>
      </c>
      <c r="AS13" s="48">
        <f>110494.93-53318.11</f>
        <v>57176.819999999992</v>
      </c>
      <c r="AT13" s="48">
        <f>102406.75-52731.61</f>
        <v>49675.14</v>
      </c>
      <c r="AU13" s="48">
        <f>56305.75-17474.25</f>
        <v>38831.5</v>
      </c>
      <c r="AV13" s="48">
        <f>29627.71-1697.38</f>
        <v>27930.329999999998</v>
      </c>
      <c r="AW13" s="48">
        <f>19782.49-632.98</f>
        <v>19149.510000000002</v>
      </c>
      <c r="AX13" s="48">
        <f>9721.86-132.98</f>
        <v>9588.880000000001</v>
      </c>
    </row>
    <row r="14" spans="1:55" ht="14.25" customHeight="1" x14ac:dyDescent="0.25">
      <c r="C14" s="1" t="s">
        <v>43</v>
      </c>
      <c r="D14" s="26">
        <f>+(158897-34415)/12*12</f>
        <v>124482</v>
      </c>
      <c r="E14" s="26">
        <f>+(158897-34415)/12*11</f>
        <v>114108.5</v>
      </c>
      <c r="F14" s="26">
        <f>+(158897-34415)/12*10</f>
        <v>103735</v>
      </c>
      <c r="G14" s="26">
        <f>+(158897-34415)/12*9</f>
        <v>93361.5</v>
      </c>
      <c r="H14" s="26">
        <f>+(158897-34415)/12*8</f>
        <v>82988</v>
      </c>
      <c r="I14" s="26">
        <f>+(158897-34415)/12*7</f>
        <v>72614.5</v>
      </c>
      <c r="J14" s="26">
        <f>+(158897-34415)/12*6</f>
        <v>62241</v>
      </c>
      <c r="K14" s="26">
        <f>+(158897-34415)/12*5</f>
        <v>51867.5</v>
      </c>
      <c r="L14" s="26">
        <f>+(158897-34415)/12*4</f>
        <v>41494</v>
      </c>
      <c r="M14" s="26">
        <f>+(158897-34415)/12*3</f>
        <v>31120.5</v>
      </c>
      <c r="N14" s="26">
        <f>+(158897-34415)/12*2</f>
        <v>20747</v>
      </c>
      <c r="O14" s="26">
        <f>+(158897-34415)/12</f>
        <v>10373.5</v>
      </c>
      <c r="P14" s="48">
        <f>+(169577-41565)/12*12</f>
        <v>128012</v>
      </c>
      <c r="Q14" s="48">
        <f>+(169577-41565)/12*11</f>
        <v>117344.33333333333</v>
      </c>
      <c r="R14" s="48">
        <f>+(169577-41565)/12*10</f>
        <v>106676.66666666666</v>
      </c>
      <c r="S14" s="48">
        <f>+(169577-41565)/12*9</f>
        <v>96009</v>
      </c>
      <c r="T14" s="48">
        <f>+(169577-41565)/12*8</f>
        <v>85341.333333333328</v>
      </c>
      <c r="U14" s="48">
        <f>+(169577-41565)/12*7</f>
        <v>74673.666666666657</v>
      </c>
      <c r="V14" s="48">
        <f>+(169577-41565)/12*6</f>
        <v>64006</v>
      </c>
      <c r="W14" s="48">
        <f>+(169577-41565)/12*5</f>
        <v>53338.333333333328</v>
      </c>
      <c r="X14" s="48">
        <f>+(169577-41565)/12*4</f>
        <v>42670.666666666664</v>
      </c>
      <c r="Y14" s="48">
        <f>+(169577-41565)/12*3</f>
        <v>32003</v>
      </c>
      <c r="Z14" s="48">
        <f>+(169577-41565)/12*2</f>
        <v>21335.333333333332</v>
      </c>
      <c r="AA14" s="48">
        <f>+(169577-41565)/12</f>
        <v>10667.666666666666</v>
      </c>
      <c r="AB14" s="48">
        <f>+(171526-40275)/12*11</f>
        <v>120313.41666666667</v>
      </c>
      <c r="AC14" s="48">
        <f>+(171526-40275)/12*10</f>
        <v>109375.83333333334</v>
      </c>
      <c r="AD14" s="48">
        <f>+(171526-40275)/12*9</f>
        <v>98438.25</v>
      </c>
      <c r="AE14" s="48">
        <f>+(171526-40275)/12*8</f>
        <v>87500.666666666672</v>
      </c>
      <c r="AF14" s="48">
        <f>+(171526-40275)/12*7</f>
        <v>76563.083333333343</v>
      </c>
      <c r="AG14" s="48">
        <f>+(171526-40275)/12*6</f>
        <v>65625.5</v>
      </c>
      <c r="AH14" s="48">
        <f>+(171526-40275)/12*5</f>
        <v>54687.916666666672</v>
      </c>
      <c r="AI14" s="48">
        <f>+(171526-40275)/12*4</f>
        <v>43750.333333333336</v>
      </c>
      <c r="AJ14" s="48">
        <f>+(171526-40275)/12*3</f>
        <v>32812.75</v>
      </c>
      <c r="AK14" s="48">
        <f>+(171526-40275)/12*2</f>
        <v>21875.166666666668</v>
      </c>
      <c r="AL14" s="48">
        <f>+(171526-40275)/12</f>
        <v>10937.583333333334</v>
      </c>
      <c r="AM14" s="48">
        <f>131660/12*12</f>
        <v>131660</v>
      </c>
      <c r="AN14" s="48">
        <f>131660/12*11</f>
        <v>120688.33333333333</v>
      </c>
      <c r="AO14" s="48">
        <f>131660/12*10</f>
        <v>109716.66666666666</v>
      </c>
      <c r="AP14" s="48">
        <f>131660/12*9</f>
        <v>98745</v>
      </c>
      <c r="AQ14" s="48">
        <f>131660/12*8</f>
        <v>87773.333333333328</v>
      </c>
      <c r="AR14" s="48">
        <f>131660/12*7</f>
        <v>76801.666666666657</v>
      </c>
      <c r="AS14" s="48">
        <f>131660/12*6</f>
        <v>65830</v>
      </c>
      <c r="AT14" s="48">
        <f>131660/12*5</f>
        <v>54858.333333333328</v>
      </c>
      <c r="AU14" s="48">
        <f>131660/12*4</f>
        <v>43886.666666666664</v>
      </c>
      <c r="AV14" s="48">
        <f>131660/12*3</f>
        <v>32915</v>
      </c>
      <c r="AW14" s="48">
        <f>131660/12*2</f>
        <v>21943.333333333332</v>
      </c>
      <c r="AX14" s="48">
        <f>131660/12</f>
        <v>10971.666666666666</v>
      </c>
    </row>
    <row r="15" spans="1:55" ht="14.25" customHeight="1" x14ac:dyDescent="0.25">
      <c r="C15" s="1" t="s">
        <v>44</v>
      </c>
      <c r="D15" s="24">
        <f t="shared" ref="D15:AX15" si="4">+D14-D13</f>
        <v>13170.350000000006</v>
      </c>
      <c r="E15" s="24">
        <f t="shared" si="4"/>
        <v>12681.62999999999</v>
      </c>
      <c r="F15" s="24">
        <f t="shared" si="4"/>
        <v>10894.25</v>
      </c>
      <c r="G15" s="24">
        <f t="shared" si="4"/>
        <v>10468.25</v>
      </c>
      <c r="H15" s="24">
        <f t="shared" si="4"/>
        <v>9897</v>
      </c>
      <c r="I15" s="24">
        <f t="shared" si="4"/>
        <v>7945</v>
      </c>
      <c r="J15" s="24">
        <f t="shared" si="4"/>
        <v>8762.9799999999959</v>
      </c>
      <c r="K15" s="24">
        <f t="shared" si="4"/>
        <v>6089.6100000000006</v>
      </c>
      <c r="L15" s="24">
        <f t="shared" si="4"/>
        <v>4447.4500000000044</v>
      </c>
      <c r="M15" s="24">
        <f t="shared" si="4"/>
        <v>5308.1699999999983</v>
      </c>
      <c r="N15" s="24">
        <f t="shared" si="4"/>
        <v>2776.8600000000006</v>
      </c>
      <c r="O15" s="24">
        <f t="shared" si="4"/>
        <v>230.15999999999985</v>
      </c>
      <c r="P15" s="24">
        <f t="shared" si="4"/>
        <v>12471.600000000006</v>
      </c>
      <c r="Q15" s="24">
        <f t="shared" si="4"/>
        <v>12685.283333333326</v>
      </c>
      <c r="R15" s="24">
        <f t="shared" si="4"/>
        <v>10799.556666666656</v>
      </c>
      <c r="S15" s="24">
        <f t="shared" si="4"/>
        <v>9478.320000000007</v>
      </c>
      <c r="T15" s="24">
        <f t="shared" si="4"/>
        <v>7005.993333333332</v>
      </c>
      <c r="U15" s="24">
        <f t="shared" si="4"/>
        <v>4702.9066666666622</v>
      </c>
      <c r="V15" s="24">
        <f t="shared" si="4"/>
        <v>4895.6500000000015</v>
      </c>
      <c r="W15" s="24">
        <f t="shared" si="4"/>
        <v>4014.2633333333288</v>
      </c>
      <c r="X15" s="24">
        <f t="shared" si="4"/>
        <v>2603.5266666666648</v>
      </c>
      <c r="Y15" s="24">
        <f t="shared" si="4"/>
        <v>951.34000000000015</v>
      </c>
      <c r="Z15" s="24">
        <f t="shared" si="4"/>
        <v>-236.95666666666875</v>
      </c>
      <c r="AA15" s="24">
        <f t="shared" si="4"/>
        <v>-2834.623333333333</v>
      </c>
      <c r="AB15" s="24">
        <f t="shared" si="4"/>
        <v>16447.546666666676</v>
      </c>
      <c r="AC15" s="24">
        <f t="shared" si="4"/>
        <v>15053.423333333354</v>
      </c>
      <c r="AD15" s="24">
        <f t="shared" si="4"/>
        <v>12257.429999999993</v>
      </c>
      <c r="AE15" s="24">
        <f t="shared" si="4"/>
        <v>8906.506666666668</v>
      </c>
      <c r="AF15" s="24">
        <f t="shared" si="4"/>
        <v>12558.323333333348</v>
      </c>
      <c r="AG15" s="24">
        <f t="shared" si="4"/>
        <v>11053.489999999998</v>
      </c>
      <c r="AH15" s="24">
        <f t="shared" si="4"/>
        <v>7567.9566666666724</v>
      </c>
      <c r="AI15" s="24">
        <f t="shared" si="4"/>
        <v>4875.9433333333363</v>
      </c>
      <c r="AJ15" s="24">
        <f t="shared" si="4"/>
        <v>3945.84</v>
      </c>
      <c r="AK15" s="24">
        <f t="shared" si="4"/>
        <v>6757.7366666666676</v>
      </c>
      <c r="AL15" s="24">
        <f t="shared" si="4"/>
        <v>1408.8533333333326</v>
      </c>
      <c r="AM15" s="24">
        <f t="shared" si="4"/>
        <v>21466.300000000017</v>
      </c>
      <c r="AN15" s="24">
        <f t="shared" si="4"/>
        <v>20792.363333333327</v>
      </c>
      <c r="AO15" s="24">
        <f t="shared" si="4"/>
        <v>16897.84666666665</v>
      </c>
      <c r="AP15" s="24">
        <f t="shared" si="4"/>
        <v>14677.169999999998</v>
      </c>
      <c r="AQ15" s="24">
        <f t="shared" si="4"/>
        <v>12073.743333333332</v>
      </c>
      <c r="AR15" s="24">
        <f t="shared" si="4"/>
        <v>9696.9766666666546</v>
      </c>
      <c r="AS15" s="24">
        <f t="shared" si="4"/>
        <v>8653.1800000000076</v>
      </c>
      <c r="AT15" s="24">
        <f t="shared" si="4"/>
        <v>5183.1933333333291</v>
      </c>
      <c r="AU15" s="24">
        <f t="shared" si="4"/>
        <v>5055.1666666666642</v>
      </c>
      <c r="AV15" s="24">
        <f t="shared" si="4"/>
        <v>4984.6700000000019</v>
      </c>
      <c r="AW15" s="24">
        <f t="shared" si="4"/>
        <v>2793.8233333333301</v>
      </c>
      <c r="AX15" s="24">
        <f t="shared" si="4"/>
        <v>1382.786666666665</v>
      </c>
    </row>
    <row r="16" spans="1:55" ht="14.25" customHeight="1" x14ac:dyDescent="0.25"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</row>
    <row r="17" spans="3:50" ht="14.25" customHeight="1" x14ac:dyDescent="0.25">
      <c r="C17" s="1" t="s">
        <v>46</v>
      </c>
      <c r="D17" s="27">
        <f t="shared" ref="D17:AL17" si="5">+D15+D7+D11</f>
        <v>11684.929999999989</v>
      </c>
      <c r="E17" s="27">
        <f t="shared" si="5"/>
        <v>11599.576363636354</v>
      </c>
      <c r="F17" s="27">
        <f t="shared" si="5"/>
        <v>10191.159999999989</v>
      </c>
      <c r="G17" s="27">
        <f t="shared" si="5"/>
        <v>8292.9833333333318</v>
      </c>
      <c r="H17" s="27">
        <f t="shared" si="5"/>
        <v>6203.359999999986</v>
      </c>
      <c r="I17" s="27">
        <f t="shared" si="5"/>
        <v>4735.1799999999912</v>
      </c>
      <c r="J17" s="27">
        <f t="shared" si="5"/>
        <v>5633.7499999999891</v>
      </c>
      <c r="K17" s="27">
        <f t="shared" si="5"/>
        <v>3507.9899999999975</v>
      </c>
      <c r="L17" s="27">
        <f t="shared" si="5"/>
        <v>750.90000000000146</v>
      </c>
      <c r="M17" s="27">
        <f t="shared" si="5"/>
        <v>1411.2400000000021</v>
      </c>
      <c r="N17" s="27">
        <f t="shared" si="5"/>
        <v>-723.47000000000116</v>
      </c>
      <c r="O17" s="27">
        <f t="shared" si="5"/>
        <v>-2156.2199999999975</v>
      </c>
      <c r="P17" s="27">
        <f t="shared" si="5"/>
        <v>9155.6400000000103</v>
      </c>
      <c r="Q17" s="27">
        <f t="shared" si="5"/>
        <v>10807.483939393935</v>
      </c>
      <c r="R17" s="27">
        <f t="shared" si="5"/>
        <v>9791.9933333333211</v>
      </c>
      <c r="S17" s="27">
        <f t="shared" si="5"/>
        <v>9580.8800000000047</v>
      </c>
      <c r="T17" s="27">
        <f t="shared" si="5"/>
        <v>7095.1266666666634</v>
      </c>
      <c r="U17" s="27">
        <f t="shared" si="5"/>
        <v>5815.6233333333275</v>
      </c>
      <c r="V17" s="27">
        <f t="shared" si="5"/>
        <v>6407.7599999999984</v>
      </c>
      <c r="W17" s="27">
        <f t="shared" si="5"/>
        <v>4384.9066666666658</v>
      </c>
      <c r="X17" s="27">
        <f t="shared" si="5"/>
        <v>3660.0233333333254</v>
      </c>
      <c r="Y17" s="27">
        <f t="shared" si="5"/>
        <v>2602.6199999999953</v>
      </c>
      <c r="Z17" s="27">
        <f t="shared" si="5"/>
        <v>-1339.2033333333302</v>
      </c>
      <c r="AA17" s="27">
        <f t="shared" si="5"/>
        <v>-3836.1066666666679</v>
      </c>
      <c r="AB17" s="27">
        <f t="shared" si="5"/>
        <v>17322.449696969721</v>
      </c>
      <c r="AC17" s="27">
        <f t="shared" si="5"/>
        <v>12404.956666666694</v>
      </c>
      <c r="AD17" s="27">
        <f t="shared" si="5"/>
        <v>2144.44333333332</v>
      </c>
      <c r="AE17" s="27">
        <f t="shared" si="5"/>
        <v>125.85333333332892</v>
      </c>
      <c r="AF17" s="27">
        <f t="shared" si="5"/>
        <v>5340.4066666666804</v>
      </c>
      <c r="AG17" s="27">
        <f t="shared" si="5"/>
        <v>6002.229999999985</v>
      </c>
      <c r="AH17" s="27">
        <f t="shared" si="5"/>
        <v>3429.9533333333275</v>
      </c>
      <c r="AI17" s="27">
        <f t="shared" si="5"/>
        <v>2939.1866666666738</v>
      </c>
      <c r="AJ17" s="27">
        <f t="shared" si="5"/>
        <v>2303.2100000000132</v>
      </c>
      <c r="AK17" s="27">
        <f t="shared" si="5"/>
        <v>4287.1933333333427</v>
      </c>
      <c r="AL17" s="27">
        <f t="shared" si="5"/>
        <v>1576.6766666666713</v>
      </c>
      <c r="AM17" s="27">
        <f t="shared" ref="AM17:AX17" si="6">+AM15+AM7</f>
        <v>16823.390909090929</v>
      </c>
      <c r="AN17" s="27">
        <f t="shared" si="6"/>
        <v>16149.454242424239</v>
      </c>
      <c r="AO17" s="27">
        <f t="shared" si="6"/>
        <v>12160.246666666651</v>
      </c>
      <c r="AP17" s="27">
        <f t="shared" si="6"/>
        <v>9842.5033333333322</v>
      </c>
      <c r="AQ17" s="27">
        <f t="shared" si="6"/>
        <v>7159.743333333332</v>
      </c>
      <c r="AR17" s="27">
        <f t="shared" si="6"/>
        <v>4728.9766666666574</v>
      </c>
      <c r="AS17" s="27">
        <f t="shared" si="6"/>
        <v>3641.1800000000112</v>
      </c>
      <c r="AT17" s="27">
        <f t="shared" si="6"/>
        <v>176.79333333332761</v>
      </c>
      <c r="AU17" s="27">
        <f t="shared" si="6"/>
        <v>141.16666666666424</v>
      </c>
      <c r="AV17" s="27">
        <f t="shared" si="6"/>
        <v>-559.32999999999811</v>
      </c>
      <c r="AW17" s="27">
        <f t="shared" si="6"/>
        <v>-1658.1766666666699</v>
      </c>
      <c r="AX17" s="27">
        <f t="shared" si="6"/>
        <v>-2145.213333333335</v>
      </c>
    </row>
    <row r="18" spans="3:50" ht="14.25" customHeight="1" x14ac:dyDescent="0.2"/>
    <row r="19" spans="3:50" ht="14.25" customHeight="1" x14ac:dyDescent="0.25">
      <c r="C19" s="1" t="s">
        <v>48</v>
      </c>
      <c r="D19" s="26">
        <v>208084.34</v>
      </c>
      <c r="E19" s="26">
        <v>190910.57</v>
      </c>
      <c r="F19" s="26">
        <v>195109.54</v>
      </c>
      <c r="G19" s="26">
        <v>196661.4</v>
      </c>
      <c r="H19" s="26">
        <v>198062.31</v>
      </c>
      <c r="I19" s="26">
        <v>201360.67</v>
      </c>
      <c r="J19" s="26">
        <v>205295.41</v>
      </c>
      <c r="K19" s="26">
        <v>222436.86</v>
      </c>
      <c r="L19" s="26">
        <v>223214.74</v>
      </c>
      <c r="M19" s="26">
        <v>225441.26</v>
      </c>
      <c r="N19" s="26">
        <v>200070.68</v>
      </c>
      <c r="O19" s="26">
        <v>190292.37</v>
      </c>
      <c r="P19" s="25">
        <v>183451.03</v>
      </c>
      <c r="Q19" s="25">
        <v>165527.87</v>
      </c>
      <c r="R19" s="25">
        <v>169705.41</v>
      </c>
      <c r="S19" s="25">
        <v>171598.07</v>
      </c>
      <c r="T19" s="25">
        <v>171675.05</v>
      </c>
      <c r="U19" s="48">
        <v>174179.87</v>
      </c>
      <c r="V19" s="48">
        <v>196037.68</v>
      </c>
      <c r="W19" s="48">
        <v>201222.8</v>
      </c>
      <c r="X19" s="48">
        <v>199351.59</v>
      </c>
      <c r="Y19" s="48">
        <v>182578.38</v>
      </c>
      <c r="Z19" s="48">
        <v>172974.49</v>
      </c>
      <c r="AA19" s="48">
        <v>168857.21</v>
      </c>
      <c r="AB19" s="48">
        <v>138236.38</v>
      </c>
      <c r="AC19" s="48">
        <v>139914.1</v>
      </c>
      <c r="AD19" s="48">
        <v>136897.97</v>
      </c>
      <c r="AE19" s="48">
        <v>133154.15</v>
      </c>
      <c r="AF19" s="48">
        <v>141056.29</v>
      </c>
      <c r="AG19" s="48">
        <v>146472.87</v>
      </c>
      <c r="AH19" s="48">
        <v>171294.25</v>
      </c>
      <c r="AI19" s="48">
        <v>171543.28</v>
      </c>
      <c r="AJ19" s="48">
        <v>155924.75</v>
      </c>
      <c r="AK19" s="48">
        <v>154498.1</v>
      </c>
      <c r="AL19" s="48">
        <v>152371.14000000001</v>
      </c>
      <c r="AM19" s="48">
        <v>120388.32</v>
      </c>
      <c r="AN19" s="48">
        <v>99920.19</v>
      </c>
      <c r="AO19" s="48">
        <v>101238.88</v>
      </c>
      <c r="AP19" s="48">
        <v>105639.09</v>
      </c>
      <c r="AQ19" s="48">
        <v>108992.54</v>
      </c>
      <c r="AR19" s="48">
        <v>112437.44</v>
      </c>
      <c r="AS19" s="48">
        <v>113633.69</v>
      </c>
      <c r="AT19" s="48">
        <v>115805.19</v>
      </c>
      <c r="AU19" s="48">
        <v>157672.74</v>
      </c>
      <c r="AV19" s="48">
        <v>164947.21</v>
      </c>
      <c r="AW19" s="48">
        <v>154575.5</v>
      </c>
      <c r="AX19" s="48">
        <v>151253.48000000001</v>
      </c>
    </row>
    <row r="20" spans="3:50" ht="14.25" customHeight="1" x14ac:dyDescent="0.25">
      <c r="C20" s="1" t="s">
        <v>50</v>
      </c>
      <c r="D20" s="26">
        <v>-49532.62</v>
      </c>
      <c r="E20" s="26">
        <v>-49532.62</v>
      </c>
      <c r="F20" s="26">
        <v>-49532.62</v>
      </c>
      <c r="G20" s="26">
        <v>-49532.62</v>
      </c>
      <c r="H20" s="26">
        <v>-49532.62</v>
      </c>
      <c r="I20" s="26">
        <v>-49532.62</v>
      </c>
      <c r="J20" s="26">
        <v>-49532.62</v>
      </c>
      <c r="K20" s="26">
        <v>-49532.62</v>
      </c>
      <c r="L20" s="26">
        <v>-49532.62</v>
      </c>
      <c r="M20" s="26">
        <v>-49532.62</v>
      </c>
      <c r="N20" s="26">
        <v>-49532.62</v>
      </c>
      <c r="O20" s="26">
        <v>-49532.62</v>
      </c>
      <c r="P20" s="26">
        <v>-50647.44</v>
      </c>
      <c r="Q20" s="26">
        <v>-48110.63</v>
      </c>
      <c r="R20" s="26">
        <v>-47041.58</v>
      </c>
      <c r="S20" s="26">
        <v>-47041.58</v>
      </c>
      <c r="T20" s="26">
        <v>-47041.58</v>
      </c>
      <c r="U20" s="48">
        <v>-47041.58</v>
      </c>
      <c r="V20" s="48">
        <v>-47041.58</v>
      </c>
      <c r="W20" s="48">
        <v>-47041.58</v>
      </c>
      <c r="X20" s="48">
        <v>-47041.58</v>
      </c>
      <c r="Y20" s="48">
        <v>-47041.58</v>
      </c>
      <c r="Z20" s="48">
        <v>-47041.58</v>
      </c>
      <c r="AA20" s="48">
        <v>-47041.58</v>
      </c>
      <c r="AB20" s="48">
        <v>-46210.35</v>
      </c>
      <c r="AC20" s="48">
        <v>-46210.35</v>
      </c>
      <c r="AD20" s="48">
        <v>-46210.35</v>
      </c>
      <c r="AE20" s="48">
        <v>-46210.35</v>
      </c>
      <c r="AF20" s="48">
        <v>-46210.35</v>
      </c>
      <c r="AG20" s="48">
        <v>-46210.35</v>
      </c>
      <c r="AH20" s="48">
        <v>-46210.35</v>
      </c>
      <c r="AI20" s="48">
        <v>-46210.35</v>
      </c>
      <c r="AJ20" s="48">
        <v>-46210.35</v>
      </c>
      <c r="AK20" s="48">
        <v>-46210.35</v>
      </c>
      <c r="AL20" s="48">
        <v>-46210.35</v>
      </c>
      <c r="AM20" s="48">
        <v>-47919.53</v>
      </c>
      <c r="AN20" s="48">
        <v>-47919.53</v>
      </c>
      <c r="AO20" s="48">
        <v>-47919.53</v>
      </c>
      <c r="AP20" s="48">
        <v>-47919.53</v>
      </c>
      <c r="AQ20" s="48">
        <v>-47919.53</v>
      </c>
      <c r="AR20" s="48">
        <v>-47919.53</v>
      </c>
      <c r="AS20" s="48">
        <v>-47919.53</v>
      </c>
      <c r="AT20" s="48">
        <v>-47919.53</v>
      </c>
      <c r="AU20" s="48">
        <v>-47919.53</v>
      </c>
      <c r="AV20" s="48">
        <v>-47919.53</v>
      </c>
      <c r="AW20" s="48">
        <v>-47919.53</v>
      </c>
      <c r="AX20" s="48">
        <v>-47919.53</v>
      </c>
    </row>
    <row r="21" spans="3:50" ht="14.25" customHeight="1" x14ac:dyDescent="0.25">
      <c r="D21" s="28">
        <f t="shared" ref="D21:AX21" si="7">SUM(D19:D20)</f>
        <v>158551.72</v>
      </c>
      <c r="E21" s="28">
        <f t="shared" si="7"/>
        <v>141377.95000000001</v>
      </c>
      <c r="F21" s="28">
        <f t="shared" si="7"/>
        <v>145576.92000000001</v>
      </c>
      <c r="G21" s="28">
        <f t="shared" si="7"/>
        <v>147128.78</v>
      </c>
      <c r="H21" s="28">
        <f t="shared" si="7"/>
        <v>148529.69</v>
      </c>
      <c r="I21" s="28">
        <f t="shared" si="7"/>
        <v>151828.05000000002</v>
      </c>
      <c r="J21" s="28">
        <f t="shared" si="7"/>
        <v>155762.79</v>
      </c>
      <c r="K21" s="28">
        <f t="shared" si="7"/>
        <v>172904.24</v>
      </c>
      <c r="L21" s="28">
        <f t="shared" si="7"/>
        <v>173682.12</v>
      </c>
      <c r="M21" s="28">
        <f t="shared" si="7"/>
        <v>175908.64</v>
      </c>
      <c r="N21" s="28">
        <f t="shared" si="7"/>
        <v>150538.06</v>
      </c>
      <c r="O21" s="28">
        <f t="shared" si="7"/>
        <v>140759.75</v>
      </c>
      <c r="P21" s="28">
        <f t="shared" si="7"/>
        <v>132803.59</v>
      </c>
      <c r="Q21" s="28">
        <f t="shared" si="7"/>
        <v>117417.23999999999</v>
      </c>
      <c r="R21" s="28">
        <f t="shared" si="7"/>
        <v>122663.83</v>
      </c>
      <c r="S21" s="28">
        <f t="shared" si="7"/>
        <v>124556.49</v>
      </c>
      <c r="T21" s="28">
        <f t="shared" si="7"/>
        <v>124633.46999999999</v>
      </c>
      <c r="U21" s="28">
        <f t="shared" si="7"/>
        <v>127138.29</v>
      </c>
      <c r="V21" s="28">
        <f t="shared" si="7"/>
        <v>148996.09999999998</v>
      </c>
      <c r="W21" s="28">
        <f t="shared" si="7"/>
        <v>154181.21999999997</v>
      </c>
      <c r="X21" s="28">
        <f t="shared" si="7"/>
        <v>152310.01</v>
      </c>
      <c r="Y21" s="28">
        <f t="shared" si="7"/>
        <v>135536.79999999999</v>
      </c>
      <c r="Z21" s="28">
        <f t="shared" si="7"/>
        <v>125932.90999999999</v>
      </c>
      <c r="AA21" s="28">
        <f t="shared" si="7"/>
        <v>121815.62999999999</v>
      </c>
      <c r="AB21" s="28">
        <f t="shared" si="7"/>
        <v>92026.03</v>
      </c>
      <c r="AC21" s="28">
        <f t="shared" si="7"/>
        <v>93703.75</v>
      </c>
      <c r="AD21" s="28">
        <f t="shared" si="7"/>
        <v>90687.62</v>
      </c>
      <c r="AE21" s="28">
        <f t="shared" si="7"/>
        <v>86943.799999999988</v>
      </c>
      <c r="AF21" s="28">
        <f t="shared" si="7"/>
        <v>94845.94</v>
      </c>
      <c r="AG21" s="28">
        <f t="shared" si="7"/>
        <v>100262.51999999999</v>
      </c>
      <c r="AH21" s="28">
        <f t="shared" si="7"/>
        <v>125083.9</v>
      </c>
      <c r="AI21" s="28">
        <f t="shared" si="7"/>
        <v>125332.93</v>
      </c>
      <c r="AJ21" s="28">
        <f t="shared" si="7"/>
        <v>109714.4</v>
      </c>
      <c r="AK21" s="28">
        <f t="shared" si="7"/>
        <v>108287.75</v>
      </c>
      <c r="AL21" s="28">
        <f t="shared" si="7"/>
        <v>106160.79000000001</v>
      </c>
      <c r="AM21" s="28">
        <f t="shared" si="7"/>
        <v>72468.790000000008</v>
      </c>
      <c r="AN21" s="28">
        <f t="shared" si="7"/>
        <v>52000.66</v>
      </c>
      <c r="AO21" s="28">
        <f t="shared" si="7"/>
        <v>53319.350000000006</v>
      </c>
      <c r="AP21" s="28">
        <f t="shared" si="7"/>
        <v>57719.56</v>
      </c>
      <c r="AQ21" s="28">
        <f t="shared" si="7"/>
        <v>61073.009999999995</v>
      </c>
      <c r="AR21" s="28">
        <f t="shared" si="7"/>
        <v>64517.91</v>
      </c>
      <c r="AS21" s="28">
        <f t="shared" si="7"/>
        <v>65714.16</v>
      </c>
      <c r="AT21" s="28">
        <f t="shared" si="7"/>
        <v>67885.66</v>
      </c>
      <c r="AU21" s="28">
        <f t="shared" si="7"/>
        <v>109753.20999999999</v>
      </c>
      <c r="AV21" s="28">
        <f t="shared" si="7"/>
        <v>117027.68</v>
      </c>
      <c r="AW21" s="28">
        <f t="shared" si="7"/>
        <v>106655.97</v>
      </c>
      <c r="AX21" s="28">
        <f t="shared" si="7"/>
        <v>103333.95000000001</v>
      </c>
    </row>
    <row r="22" spans="3:50" ht="14.25" customHeight="1" x14ac:dyDescent="0.2"/>
    <row r="23" spans="3:50" ht="14.25" customHeight="1" x14ac:dyDescent="0.25">
      <c r="C23" s="1" t="s">
        <v>52</v>
      </c>
      <c r="D23" s="25">
        <v>15327.16</v>
      </c>
      <c r="E23" s="25">
        <v>15327.16</v>
      </c>
      <c r="F23" s="25">
        <v>15327.16</v>
      </c>
      <c r="G23" s="25">
        <v>15327.16</v>
      </c>
      <c r="H23" s="25">
        <v>15327.16</v>
      </c>
      <c r="I23" s="25">
        <v>15327.16</v>
      </c>
      <c r="J23" s="25">
        <v>15327.16</v>
      </c>
      <c r="K23" s="25">
        <v>15327.16</v>
      </c>
      <c r="P23" s="59">
        <v>11273.89</v>
      </c>
      <c r="Q23" s="59">
        <v>11273.89</v>
      </c>
      <c r="R23" s="59">
        <v>11273.89</v>
      </c>
      <c r="S23" s="59">
        <v>11273.89</v>
      </c>
      <c r="T23" s="59">
        <v>11273.89</v>
      </c>
      <c r="U23" s="59">
        <v>11273.89</v>
      </c>
      <c r="V23" s="59"/>
      <c r="W23" s="59"/>
      <c r="X23" s="59"/>
      <c r="Y23" s="59"/>
      <c r="Z23" s="59"/>
      <c r="AA23" s="59"/>
      <c r="AB23" s="59">
        <v>12836.49</v>
      </c>
      <c r="AC23" s="59">
        <v>13124.2</v>
      </c>
      <c r="AD23" s="59">
        <v>13755</v>
      </c>
      <c r="AE23" s="59">
        <v>13755</v>
      </c>
      <c r="AF23" s="59">
        <v>13755</v>
      </c>
      <c r="AG23" s="59">
        <v>15375.21</v>
      </c>
      <c r="AH23" s="60" t="s">
        <v>53</v>
      </c>
      <c r="AI23" s="60" t="s">
        <v>53</v>
      </c>
      <c r="AJ23" s="60" t="s">
        <v>53</v>
      </c>
      <c r="AK23" s="60" t="s">
        <v>53</v>
      </c>
      <c r="AL23" s="60" t="s">
        <v>53</v>
      </c>
      <c r="AM23" s="59">
        <v>-17550.150000000001</v>
      </c>
      <c r="AN23" s="59">
        <v>-17550.150000000001</v>
      </c>
      <c r="AO23" s="59">
        <v>-17550.150000000001</v>
      </c>
      <c r="AP23" s="59">
        <v>-15778.35</v>
      </c>
      <c r="AQ23" s="59">
        <v>-15778.35</v>
      </c>
      <c r="AR23" s="59">
        <v>-15778.35</v>
      </c>
      <c r="AS23" s="59">
        <v>-15778.35</v>
      </c>
      <c r="AT23" s="59">
        <v>-15191.85</v>
      </c>
      <c r="AU23" s="60" t="s">
        <v>53</v>
      </c>
      <c r="AV23" s="60" t="s">
        <v>53</v>
      </c>
      <c r="AW23" s="60" t="s">
        <v>53</v>
      </c>
      <c r="AX23" s="60" t="s">
        <v>53</v>
      </c>
    </row>
    <row r="24" spans="3:50" ht="14.25" customHeight="1" x14ac:dyDescent="0.2"/>
    <row r="25" spans="3:50" ht="14.25" customHeight="1" x14ac:dyDescent="0.25">
      <c r="AB25" s="48"/>
      <c r="AC25" s="48"/>
    </row>
    <row r="26" spans="3:50" ht="14.25" customHeight="1" x14ac:dyDescent="0.25">
      <c r="U26" s="61"/>
      <c r="V26" s="61"/>
      <c r="W26" s="61"/>
      <c r="X26" s="61"/>
      <c r="Y26" s="61"/>
      <c r="Z26" s="61"/>
      <c r="AA26" s="61"/>
      <c r="AK26" s="48"/>
    </row>
    <row r="27" spans="3:50" ht="14.25" customHeight="1" x14ac:dyDescent="0.2"/>
    <row r="28" spans="3:50" ht="14.25" customHeight="1" x14ac:dyDescent="0.2"/>
    <row r="29" spans="3:50" ht="14.25" customHeight="1" x14ac:dyDescent="0.2"/>
    <row r="30" spans="3:50" ht="14.25" customHeight="1" x14ac:dyDescent="0.25">
      <c r="AK30" s="48"/>
    </row>
    <row r="31" spans="3:50" ht="14.25" customHeight="1" x14ac:dyDescent="0.2"/>
    <row r="32" spans="3:50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4">
    <mergeCell ref="D1:F1"/>
    <mergeCell ref="P1:AA1"/>
    <mergeCell ref="AB1:AC1"/>
    <mergeCell ref="AM1:AO1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1000"/>
  <sheetViews>
    <sheetView workbookViewId="0"/>
  </sheetViews>
  <sheetFormatPr defaultColWidth="12.625" defaultRowHeight="15" customHeight="1" x14ac:dyDescent="0.2"/>
  <cols>
    <col min="1" max="2" width="7.625" customWidth="1"/>
    <col min="3" max="3" width="45.625" customWidth="1"/>
    <col min="4" max="6" width="13.25" customWidth="1"/>
    <col min="7" max="8" width="13.25" hidden="1" customWidth="1"/>
    <col min="9" max="10" width="12.875" hidden="1" customWidth="1"/>
    <col min="11" max="11" width="14.25" hidden="1" customWidth="1"/>
    <col min="12" max="13" width="12.875" hidden="1" customWidth="1"/>
    <col min="14" max="15" width="15.5" hidden="1" customWidth="1"/>
    <col min="16" max="16" width="15.5" customWidth="1"/>
    <col min="17" max="18" width="13.75" customWidth="1"/>
    <col min="19" max="22" width="13.75" hidden="1" customWidth="1"/>
    <col min="23" max="23" width="13" hidden="1" customWidth="1"/>
    <col min="24" max="25" width="13.25" hidden="1" customWidth="1"/>
    <col min="26" max="26" width="12" hidden="1" customWidth="1"/>
    <col min="27" max="27" width="9.5" hidden="1" customWidth="1"/>
    <col min="28" max="29" width="12.875" hidden="1" customWidth="1"/>
    <col min="30" max="30" width="10.5" hidden="1" customWidth="1"/>
    <col min="31" max="35" width="11.875" hidden="1" customWidth="1"/>
    <col min="36" max="36" width="12.5" hidden="1" customWidth="1"/>
    <col min="37" max="39" width="9.75" hidden="1" customWidth="1"/>
  </cols>
  <sheetData>
    <row r="1" spans="1:39" ht="14.25" customHeight="1" x14ac:dyDescent="0.25">
      <c r="A1" s="1" t="s">
        <v>1</v>
      </c>
      <c r="D1" s="30"/>
      <c r="E1" s="30">
        <v>2017</v>
      </c>
      <c r="F1" s="30"/>
      <c r="G1" s="30"/>
      <c r="H1" s="32"/>
      <c r="I1" s="31"/>
      <c r="J1" s="32"/>
      <c r="K1" s="31"/>
      <c r="L1" s="86"/>
      <c r="M1" s="87"/>
      <c r="N1" s="87"/>
      <c r="O1" s="87"/>
      <c r="P1" s="104">
        <v>2016</v>
      </c>
      <c r="Q1" s="109"/>
      <c r="R1" s="109"/>
      <c r="S1" s="31"/>
      <c r="T1" s="31"/>
      <c r="U1" s="31"/>
      <c r="V1" s="31"/>
      <c r="W1" s="31"/>
      <c r="X1" s="86"/>
      <c r="Y1" s="87"/>
      <c r="Z1" s="87"/>
      <c r="AA1" s="87"/>
      <c r="AB1" s="104">
        <v>2015</v>
      </c>
      <c r="AC1" s="109"/>
      <c r="AD1" s="110"/>
      <c r="AE1" s="86"/>
      <c r="AF1" s="32"/>
      <c r="AG1" s="87"/>
      <c r="AH1" s="87"/>
      <c r="AI1" s="86"/>
      <c r="AJ1" s="86"/>
      <c r="AK1" s="86"/>
      <c r="AL1" s="86"/>
      <c r="AM1" s="87"/>
    </row>
    <row r="2" spans="1:39" ht="14.25" customHeight="1" x14ac:dyDescent="0.25">
      <c r="D2" s="35" t="s">
        <v>20</v>
      </c>
      <c r="E2" s="35" t="s">
        <v>21</v>
      </c>
      <c r="F2" s="35" t="s">
        <v>22</v>
      </c>
      <c r="G2" s="35" t="s">
        <v>23</v>
      </c>
      <c r="H2" s="35" t="s">
        <v>24</v>
      </c>
      <c r="I2" s="35" t="s">
        <v>14</v>
      </c>
      <c r="J2" s="35" t="s">
        <v>15</v>
      </c>
      <c r="K2" s="35" t="s">
        <v>5</v>
      </c>
      <c r="L2" s="35" t="s">
        <v>16</v>
      </c>
      <c r="M2" s="35" t="s">
        <v>17</v>
      </c>
      <c r="N2" s="35" t="s">
        <v>18</v>
      </c>
      <c r="O2" s="35" t="s">
        <v>19</v>
      </c>
      <c r="P2" s="35" t="s">
        <v>20</v>
      </c>
      <c r="Q2" s="35" t="s">
        <v>21</v>
      </c>
      <c r="R2" s="35" t="s">
        <v>22</v>
      </c>
      <c r="S2" s="35" t="s">
        <v>23</v>
      </c>
      <c r="T2" s="35" t="s">
        <v>24</v>
      </c>
      <c r="U2" s="35" t="s">
        <v>14</v>
      </c>
      <c r="V2" s="35" t="s">
        <v>15</v>
      </c>
      <c r="W2" s="35" t="s">
        <v>5</v>
      </c>
      <c r="X2" s="35" t="s">
        <v>16</v>
      </c>
      <c r="Y2" s="35" t="s">
        <v>17</v>
      </c>
      <c r="Z2" s="35" t="s">
        <v>18</v>
      </c>
      <c r="AA2" s="35" t="s">
        <v>19</v>
      </c>
      <c r="AB2" s="35" t="s">
        <v>20</v>
      </c>
      <c r="AC2" s="35" t="s">
        <v>21</v>
      </c>
      <c r="AD2" s="35" t="s">
        <v>22</v>
      </c>
      <c r="AE2" s="35" t="s">
        <v>23</v>
      </c>
      <c r="AF2" s="35" t="s">
        <v>24</v>
      </c>
      <c r="AG2" s="35" t="s">
        <v>14</v>
      </c>
      <c r="AH2" s="35" t="s">
        <v>15</v>
      </c>
      <c r="AI2" s="35" t="s">
        <v>5</v>
      </c>
      <c r="AJ2" s="35" t="s">
        <v>16</v>
      </c>
      <c r="AK2" s="35" t="s">
        <v>17</v>
      </c>
      <c r="AL2" s="35" t="s">
        <v>18</v>
      </c>
      <c r="AM2" s="35" t="s">
        <v>19</v>
      </c>
    </row>
    <row r="3" spans="1:39" ht="14.25" customHeight="1" x14ac:dyDescent="0.25">
      <c r="C3" s="1" t="s">
        <v>59</v>
      </c>
      <c r="D3" s="1">
        <v>418</v>
      </c>
      <c r="E3" s="1">
        <v>417</v>
      </c>
      <c r="F3" s="1">
        <v>421</v>
      </c>
      <c r="G3" s="1">
        <f>412+14</f>
        <v>426</v>
      </c>
      <c r="H3" s="1">
        <v>417</v>
      </c>
      <c r="I3" s="1">
        <v>424</v>
      </c>
      <c r="J3" s="1">
        <v>424</v>
      </c>
      <c r="K3" s="1">
        <v>420</v>
      </c>
      <c r="L3" s="1">
        <v>420</v>
      </c>
      <c r="M3" s="1">
        <v>423</v>
      </c>
      <c r="N3" s="1">
        <f>404+13</f>
        <v>417</v>
      </c>
      <c r="O3" s="1">
        <v>421</v>
      </c>
      <c r="P3" s="1">
        <f>436+13</f>
        <v>449</v>
      </c>
      <c r="Q3" s="1">
        <v>451</v>
      </c>
      <c r="R3" s="1">
        <f>433+13</f>
        <v>446</v>
      </c>
      <c r="S3" s="1">
        <f>428+13</f>
        <v>441</v>
      </c>
      <c r="T3" s="1">
        <v>439</v>
      </c>
      <c r="U3" s="1">
        <v>431</v>
      </c>
      <c r="V3" s="1">
        <v>440</v>
      </c>
      <c r="W3" s="1">
        <v>445</v>
      </c>
      <c r="X3" s="1">
        <v>441</v>
      </c>
      <c r="Y3" s="1">
        <v>444</v>
      </c>
      <c r="Z3" s="1">
        <v>441</v>
      </c>
      <c r="AA3" s="1">
        <v>449</v>
      </c>
      <c r="AB3" s="1">
        <v>440</v>
      </c>
      <c r="AC3" s="1">
        <v>438</v>
      </c>
      <c r="AD3" s="1">
        <v>437</v>
      </c>
      <c r="AE3" s="1">
        <v>435</v>
      </c>
      <c r="AF3" s="1">
        <v>433</v>
      </c>
      <c r="AG3" s="1">
        <v>432</v>
      </c>
      <c r="AH3" s="1">
        <v>430</v>
      </c>
      <c r="AI3" s="1">
        <v>428</v>
      </c>
      <c r="AJ3" s="1">
        <v>430</v>
      </c>
      <c r="AK3" s="1">
        <v>426</v>
      </c>
      <c r="AL3" s="1">
        <v>428</v>
      </c>
      <c r="AM3" s="1">
        <v>439</v>
      </c>
    </row>
    <row r="4" spans="1:39" ht="14.25" customHeight="1" x14ac:dyDescent="0.25">
      <c r="C4" s="1" t="s">
        <v>28</v>
      </c>
      <c r="D4" s="23">
        <f>AVERAGE(D3:O3)</f>
        <v>420.66666666666669</v>
      </c>
      <c r="E4" s="23">
        <f>AVERAGE(E3:O3)</f>
        <v>420.90909090909093</v>
      </c>
      <c r="F4" s="23">
        <f>AVERAGE(F3:O3)</f>
        <v>421.3</v>
      </c>
      <c r="G4" s="23">
        <f>AVERAGE(G3:O3)</f>
        <v>421.33333333333331</v>
      </c>
      <c r="H4" s="23">
        <f>AVERAGE(H3:O3)</f>
        <v>420.75</v>
      </c>
      <c r="I4" s="23">
        <f>AVERAGE(I3:O3)</f>
        <v>421.28571428571428</v>
      </c>
      <c r="J4" s="23">
        <f>AVERAGE(J3:O3)</f>
        <v>420.83333333333331</v>
      </c>
      <c r="K4" s="23">
        <f>AVERAGE(K3:O3)</f>
        <v>420.2</v>
      </c>
      <c r="L4" s="23">
        <f>AVERAGE(L3:O3)</f>
        <v>420.25</v>
      </c>
      <c r="M4" s="23">
        <f>AVERAGE(M3:O3)</f>
        <v>420.33333333333331</v>
      </c>
      <c r="N4" s="23">
        <f>AVERAGE(N3:O3)</f>
        <v>419</v>
      </c>
      <c r="O4" s="23">
        <f>AVERAGE(O3)</f>
        <v>421</v>
      </c>
      <c r="P4" s="23">
        <f>AVERAGE(P3:AA3)</f>
        <v>443.08333333333331</v>
      </c>
      <c r="Q4" s="23">
        <f>AVERAGE(Q3:AA3)</f>
        <v>442.54545454545456</v>
      </c>
      <c r="R4" s="23">
        <f>AVERAGE(R3:AA3)</f>
        <v>441.7</v>
      </c>
      <c r="S4" s="23">
        <f>AVERAGE(S3:AA3)</f>
        <v>441.22222222222223</v>
      </c>
      <c r="T4" s="23">
        <f>AVERAGE(T3:AA3)</f>
        <v>441.25</v>
      </c>
      <c r="U4" s="23">
        <f>AVERAGE(U3:AA3)</f>
        <v>441.57142857142856</v>
      </c>
      <c r="V4" s="23">
        <f>AVERAGE(V3:AA3)</f>
        <v>443.33333333333331</v>
      </c>
      <c r="W4" s="23">
        <f>AVERAGE(W3:AA3)</f>
        <v>444</v>
      </c>
      <c r="X4" s="23">
        <f>AVERAGE(X3:AA3)</f>
        <v>443.75</v>
      </c>
      <c r="Y4" s="23">
        <f>AVERAGE(Y3:AA3)</f>
        <v>444.66666666666669</v>
      </c>
      <c r="Z4" s="23">
        <f>AVERAGE(Z3:AA3)</f>
        <v>445</v>
      </c>
      <c r="AA4" s="23">
        <f>+AA3</f>
        <v>449</v>
      </c>
      <c r="AB4" s="23">
        <f>AVERAGE(AC3:AM3)</f>
        <v>432.36363636363637</v>
      </c>
      <c r="AC4" s="23">
        <f>AVERAGE(AC3:AM3)</f>
        <v>432.36363636363637</v>
      </c>
      <c r="AD4" s="23">
        <f>AVERAGE(AD3:AM3)</f>
        <v>431.8</v>
      </c>
      <c r="AE4" s="23">
        <f>AVERAGE(AE3:AM3)</f>
        <v>431.22222222222223</v>
      </c>
      <c r="AF4" s="23">
        <f>AVERAGE(AF3:AM3)</f>
        <v>430.75</v>
      </c>
      <c r="AG4" s="23">
        <f>AVERAGE(AG3:AM3)</f>
        <v>430.42857142857144</v>
      </c>
      <c r="AH4" s="23">
        <f>AVERAGE(AH3:AM3)</f>
        <v>430.16666666666669</v>
      </c>
      <c r="AI4" s="23">
        <f>AVERAGE(AI3:AM3)</f>
        <v>430.2</v>
      </c>
      <c r="AJ4" s="23">
        <f>AVERAGE(AJ3:AM3)</f>
        <v>430.75</v>
      </c>
      <c r="AK4" s="23">
        <f t="shared" ref="AK4:AL4" si="0">AVERAGE(AK3:AL3)</f>
        <v>427</v>
      </c>
      <c r="AL4" s="23">
        <f t="shared" si="0"/>
        <v>433.5</v>
      </c>
      <c r="AM4" s="1">
        <f>+AM3</f>
        <v>439</v>
      </c>
    </row>
    <row r="5" spans="1:39" ht="14.25" customHeight="1" x14ac:dyDescent="0.25">
      <c r="C5" s="1" t="s">
        <v>30</v>
      </c>
      <c r="D5" s="1">
        <v>445</v>
      </c>
      <c r="E5" s="1">
        <v>445</v>
      </c>
      <c r="F5" s="1">
        <v>445</v>
      </c>
      <c r="G5" s="1">
        <v>445</v>
      </c>
      <c r="H5" s="1">
        <v>445</v>
      </c>
      <c r="I5" s="1">
        <v>445</v>
      </c>
      <c r="J5" s="1">
        <v>445</v>
      </c>
      <c r="K5" s="1">
        <v>445</v>
      </c>
      <c r="L5" s="1">
        <v>445</v>
      </c>
      <c r="M5" s="1">
        <v>445</v>
      </c>
      <c r="N5" s="1">
        <v>445</v>
      </c>
      <c r="O5" s="1">
        <v>445</v>
      </c>
      <c r="P5" s="1">
        <v>461</v>
      </c>
      <c r="Q5" s="1">
        <v>461</v>
      </c>
      <c r="R5" s="1">
        <v>461</v>
      </c>
      <c r="S5" s="1">
        <v>461</v>
      </c>
      <c r="T5" s="1">
        <v>461</v>
      </c>
      <c r="U5" s="1">
        <v>461</v>
      </c>
      <c r="V5" s="1">
        <v>461</v>
      </c>
      <c r="W5" s="1">
        <v>461</v>
      </c>
      <c r="X5" s="1">
        <v>461</v>
      </c>
      <c r="Y5" s="1">
        <v>461</v>
      </c>
      <c r="Z5" s="1">
        <v>461</v>
      </c>
      <c r="AA5" s="1">
        <v>461</v>
      </c>
      <c r="AB5" s="1">
        <v>460</v>
      </c>
      <c r="AC5" s="1">
        <v>460</v>
      </c>
      <c r="AD5" s="1">
        <v>460</v>
      </c>
      <c r="AE5" s="1">
        <v>460</v>
      </c>
      <c r="AF5" s="1">
        <v>460</v>
      </c>
      <c r="AG5" s="1">
        <v>460</v>
      </c>
      <c r="AH5" s="1">
        <v>460</v>
      </c>
      <c r="AI5" s="1">
        <v>460</v>
      </c>
      <c r="AJ5" s="1">
        <v>460</v>
      </c>
      <c r="AK5" s="1">
        <v>460</v>
      </c>
      <c r="AL5" s="1">
        <v>460</v>
      </c>
      <c r="AM5" s="1">
        <v>460</v>
      </c>
    </row>
    <row r="6" spans="1:39" ht="14.25" customHeight="1" x14ac:dyDescent="0.25">
      <c r="C6" s="1" t="s">
        <v>32</v>
      </c>
      <c r="D6" s="23">
        <f t="shared" ref="D6:AM6" si="1">+D4-D5</f>
        <v>-24.333333333333314</v>
      </c>
      <c r="E6" s="23">
        <f t="shared" si="1"/>
        <v>-24.090909090909065</v>
      </c>
      <c r="F6" s="23">
        <f t="shared" si="1"/>
        <v>-23.699999999999989</v>
      </c>
      <c r="G6" s="23">
        <f t="shared" si="1"/>
        <v>-23.666666666666686</v>
      </c>
      <c r="H6" s="23">
        <f t="shared" si="1"/>
        <v>-24.25</v>
      </c>
      <c r="I6" s="23">
        <f t="shared" si="1"/>
        <v>-23.714285714285722</v>
      </c>
      <c r="J6" s="23">
        <f t="shared" si="1"/>
        <v>-24.166666666666686</v>
      </c>
      <c r="K6" s="23">
        <f t="shared" si="1"/>
        <v>-24.800000000000011</v>
      </c>
      <c r="L6" s="23">
        <f t="shared" si="1"/>
        <v>-24.75</v>
      </c>
      <c r="M6" s="23">
        <f t="shared" si="1"/>
        <v>-24.666666666666686</v>
      </c>
      <c r="N6" s="23">
        <f t="shared" si="1"/>
        <v>-26</v>
      </c>
      <c r="O6" s="23">
        <f t="shared" si="1"/>
        <v>-24</v>
      </c>
      <c r="P6" s="23">
        <f t="shared" si="1"/>
        <v>-17.916666666666686</v>
      </c>
      <c r="Q6" s="23">
        <f t="shared" si="1"/>
        <v>-18.454545454545439</v>
      </c>
      <c r="R6" s="23">
        <f t="shared" si="1"/>
        <v>-19.300000000000011</v>
      </c>
      <c r="S6" s="23">
        <f t="shared" si="1"/>
        <v>-19.777777777777771</v>
      </c>
      <c r="T6" s="23">
        <f t="shared" si="1"/>
        <v>-19.75</v>
      </c>
      <c r="U6" s="23">
        <f t="shared" si="1"/>
        <v>-19.428571428571445</v>
      </c>
      <c r="V6" s="23">
        <f t="shared" si="1"/>
        <v>-17.666666666666686</v>
      </c>
      <c r="W6" s="23">
        <f t="shared" si="1"/>
        <v>-17</v>
      </c>
      <c r="X6" s="23">
        <f t="shared" si="1"/>
        <v>-17.25</v>
      </c>
      <c r="Y6" s="23">
        <f t="shared" si="1"/>
        <v>-16.333333333333314</v>
      </c>
      <c r="Z6" s="23">
        <f t="shared" si="1"/>
        <v>-16</v>
      </c>
      <c r="AA6" s="23">
        <f t="shared" si="1"/>
        <v>-12</v>
      </c>
      <c r="AB6" s="23">
        <f t="shared" si="1"/>
        <v>-27.636363636363626</v>
      </c>
      <c r="AC6" s="23">
        <f t="shared" si="1"/>
        <v>-27.636363636363626</v>
      </c>
      <c r="AD6" s="23">
        <f t="shared" si="1"/>
        <v>-28.199999999999989</v>
      </c>
      <c r="AE6" s="23">
        <f t="shared" si="1"/>
        <v>-28.777777777777771</v>
      </c>
      <c r="AF6" s="23">
        <f t="shared" si="1"/>
        <v>-29.25</v>
      </c>
      <c r="AG6" s="23">
        <f t="shared" si="1"/>
        <v>-29.571428571428555</v>
      </c>
      <c r="AH6" s="23">
        <f t="shared" si="1"/>
        <v>-29.833333333333314</v>
      </c>
      <c r="AI6" s="23">
        <f t="shared" si="1"/>
        <v>-29.800000000000011</v>
      </c>
      <c r="AJ6" s="23">
        <f t="shared" si="1"/>
        <v>-29.25</v>
      </c>
      <c r="AK6" s="23">
        <f t="shared" si="1"/>
        <v>-33</v>
      </c>
      <c r="AL6" s="23">
        <f t="shared" si="1"/>
        <v>-26.5</v>
      </c>
      <c r="AM6" s="23">
        <f t="shared" si="1"/>
        <v>-21</v>
      </c>
    </row>
    <row r="7" spans="1:39" ht="14.25" customHeight="1" x14ac:dyDescent="0.25">
      <c r="C7" s="1" t="s">
        <v>34</v>
      </c>
      <c r="D7" s="24">
        <f t="shared" ref="D7:AM7" si="2">+D6*168</f>
        <v>-4087.9999999999968</v>
      </c>
      <c r="E7" s="24">
        <f t="shared" si="2"/>
        <v>-4047.2727272727229</v>
      </c>
      <c r="F7" s="24">
        <f t="shared" si="2"/>
        <v>-3981.5999999999981</v>
      </c>
      <c r="G7" s="24">
        <f t="shared" si="2"/>
        <v>-3976.0000000000032</v>
      </c>
      <c r="H7" s="24">
        <f t="shared" si="2"/>
        <v>-4074</v>
      </c>
      <c r="I7" s="24">
        <f t="shared" si="2"/>
        <v>-3984.0000000000014</v>
      </c>
      <c r="J7" s="24">
        <f t="shared" si="2"/>
        <v>-4060.0000000000032</v>
      </c>
      <c r="K7" s="24">
        <f t="shared" si="2"/>
        <v>-4166.4000000000015</v>
      </c>
      <c r="L7" s="24">
        <f t="shared" si="2"/>
        <v>-4158</v>
      </c>
      <c r="M7" s="24">
        <f t="shared" si="2"/>
        <v>-4144.0000000000036</v>
      </c>
      <c r="N7" s="24">
        <f t="shared" si="2"/>
        <v>-4368</v>
      </c>
      <c r="O7" s="24">
        <f t="shared" si="2"/>
        <v>-4032</v>
      </c>
      <c r="P7" s="24">
        <f t="shared" si="2"/>
        <v>-3010.0000000000032</v>
      </c>
      <c r="Q7" s="24">
        <f t="shared" si="2"/>
        <v>-3100.3636363636338</v>
      </c>
      <c r="R7" s="24">
        <f t="shared" si="2"/>
        <v>-3242.4000000000019</v>
      </c>
      <c r="S7" s="24">
        <f t="shared" si="2"/>
        <v>-3322.6666666666656</v>
      </c>
      <c r="T7" s="24">
        <f t="shared" si="2"/>
        <v>-3318</v>
      </c>
      <c r="U7" s="24">
        <f t="shared" si="2"/>
        <v>-3264.0000000000027</v>
      </c>
      <c r="V7" s="24">
        <f t="shared" si="2"/>
        <v>-2968.0000000000032</v>
      </c>
      <c r="W7" s="24">
        <f t="shared" si="2"/>
        <v>-2856</v>
      </c>
      <c r="X7" s="24">
        <f t="shared" si="2"/>
        <v>-2898</v>
      </c>
      <c r="Y7" s="24">
        <f t="shared" si="2"/>
        <v>-2743.9999999999968</v>
      </c>
      <c r="Z7" s="24">
        <f t="shared" si="2"/>
        <v>-2688</v>
      </c>
      <c r="AA7" s="24">
        <f t="shared" si="2"/>
        <v>-2016</v>
      </c>
      <c r="AB7" s="24">
        <f t="shared" si="2"/>
        <v>-4642.9090909090892</v>
      </c>
      <c r="AC7" s="24">
        <f t="shared" si="2"/>
        <v>-4642.9090909090892</v>
      </c>
      <c r="AD7" s="24">
        <f t="shared" si="2"/>
        <v>-4737.5999999999985</v>
      </c>
      <c r="AE7" s="24">
        <f t="shared" si="2"/>
        <v>-4834.6666666666661</v>
      </c>
      <c r="AF7" s="24">
        <f t="shared" si="2"/>
        <v>-4914</v>
      </c>
      <c r="AG7" s="24">
        <f t="shared" si="2"/>
        <v>-4967.9999999999973</v>
      </c>
      <c r="AH7" s="24">
        <f t="shared" si="2"/>
        <v>-5011.9999999999964</v>
      </c>
      <c r="AI7" s="24">
        <f t="shared" si="2"/>
        <v>-5006.4000000000015</v>
      </c>
      <c r="AJ7" s="24">
        <f t="shared" si="2"/>
        <v>-4914</v>
      </c>
      <c r="AK7" s="24">
        <f t="shared" si="2"/>
        <v>-5544</v>
      </c>
      <c r="AL7" s="24">
        <f t="shared" si="2"/>
        <v>-4452</v>
      </c>
      <c r="AM7" s="24">
        <f t="shared" si="2"/>
        <v>-3528</v>
      </c>
    </row>
    <row r="8" spans="1:39" ht="14.25" customHeight="1" x14ac:dyDescent="0.2"/>
    <row r="9" spans="1:39" ht="14.25" customHeight="1" x14ac:dyDescent="0.25">
      <c r="C9" s="1" t="s">
        <v>60</v>
      </c>
      <c r="D9" s="53">
        <v>31472.04</v>
      </c>
      <c r="E9" s="53">
        <v>30311.14</v>
      </c>
      <c r="F9" s="53">
        <v>28557.37</v>
      </c>
      <c r="G9" s="53">
        <v>27103.56</v>
      </c>
      <c r="H9" s="53">
        <v>24629.8</v>
      </c>
      <c r="I9" s="48">
        <f>152288.03-70003.48-19432.5-39847</f>
        <v>23005.050000000003</v>
      </c>
      <c r="J9" s="48">
        <f>147875.59-39847-68561.48-18545</f>
        <v>20922.11</v>
      </c>
      <c r="K9" s="48">
        <f>137852.19-67063.48-17420-36040</f>
        <v>17328.710000000006</v>
      </c>
      <c r="L9" s="48">
        <f>127375.56-29573-65297.23-17057.5</f>
        <v>15447.829999999994</v>
      </c>
      <c r="M9" s="48">
        <f>100592.34-62570.56-16307.5-8244</f>
        <v>13470.279999999999</v>
      </c>
      <c r="N9" s="48">
        <f>80791.57-56664.15-15745</f>
        <v>8382.4200000000055</v>
      </c>
      <c r="O9" s="48">
        <f>70654.5-14395-50670.65</f>
        <v>5588.8499999999985</v>
      </c>
      <c r="P9" s="48">
        <f>189615.06-50742-73793.84-21200</f>
        <v>43879.22</v>
      </c>
      <c r="Q9" s="48">
        <f>186541.69-50742-73758.84-21200</f>
        <v>40840.850000000006</v>
      </c>
      <c r="R9" s="48">
        <f>179593.44-50742-73555.84-21187.5</f>
        <v>34108.100000000006</v>
      </c>
      <c r="S9" s="48">
        <f>168214.77-73037.84-21062.5-50742</f>
        <v>23372.429999999993</v>
      </c>
      <c r="T9" s="48">
        <f>165275.02-50742-72421.84-20762.5</f>
        <v>21348.679999999993</v>
      </c>
      <c r="U9" s="48">
        <f>161997.84-50677-20625-71189.84</f>
        <v>19506</v>
      </c>
      <c r="V9" s="48">
        <f>158489.58-50677-69999.84-19787.5</f>
        <v>18025.239999999991</v>
      </c>
      <c r="W9" s="48">
        <f>152773.52-18587.5-68899.94-49811</f>
        <v>15475.079999999987</v>
      </c>
      <c r="X9" s="48">
        <f>142850.75-43480-66953.84-18050</f>
        <v>14366.910000000003</v>
      </c>
      <c r="Y9" s="48">
        <f>117858.96-25433-64007.84-17262.5</f>
        <v>11155.62000000001</v>
      </c>
      <c r="Z9" s="48">
        <f>103380.46-19355-60530.17-16575</f>
        <v>6920.2900000000081</v>
      </c>
      <c r="AA9" s="48">
        <f>91409.49-17515-53484.25-14875</f>
        <v>5535.2400000000052</v>
      </c>
    </row>
    <row r="10" spans="1:39" ht="14.25" customHeight="1" x14ac:dyDescent="0.25">
      <c r="C10" s="1" t="s">
        <v>58</v>
      </c>
      <c r="D10" s="53">
        <f>(174743-45101-78942-20000)/12*12</f>
        <v>30700</v>
      </c>
      <c r="E10" s="53">
        <f>(174743-45101-78942-20000)/12*11</f>
        <v>28141.666666666668</v>
      </c>
      <c r="F10" s="53">
        <f>(174743-45101-78942-20000)/12*10</f>
        <v>25583.333333333336</v>
      </c>
      <c r="G10" s="53">
        <f>(174743-45101-78942-20000)/12*9</f>
        <v>23025</v>
      </c>
      <c r="H10" s="53">
        <f>(174743-45101-78942-20000)/12*8</f>
        <v>20466.666666666668</v>
      </c>
      <c r="I10" s="48">
        <f>(174743-45101-78942-20000)/12*7</f>
        <v>17908.333333333336</v>
      </c>
      <c r="J10" s="48">
        <f>(174743-45101-78942-20000)/12*6</f>
        <v>15350</v>
      </c>
      <c r="K10" s="48">
        <f>(174743-45101-78942-20000)/12*5</f>
        <v>12791.666666666668</v>
      </c>
      <c r="L10" s="48">
        <f>(174743-45101-78942-20000)/12*4</f>
        <v>10233.333333333334</v>
      </c>
      <c r="M10" s="48">
        <f>(174743-45101-78942-20000)/12*3</f>
        <v>7675</v>
      </c>
      <c r="N10" s="48">
        <f>(174743-45101-78942-20000)/12*2</f>
        <v>5116.666666666667</v>
      </c>
      <c r="O10" s="48">
        <f>(174743-45101-78942-20000)/12</f>
        <v>2558.3333333333335</v>
      </c>
      <c r="P10" s="48">
        <f>(58217-18000)/12*12</f>
        <v>40217</v>
      </c>
      <c r="Q10" s="48">
        <f>(58217-18000)/12*11</f>
        <v>36865.583333333328</v>
      </c>
      <c r="R10" s="48">
        <f>(58217-18000)/12*10</f>
        <v>33514.166666666664</v>
      </c>
      <c r="S10" s="48">
        <f>(58217-18000)/12*9</f>
        <v>30162.75</v>
      </c>
      <c r="T10" s="48">
        <f>(58217-18000)/12*8</f>
        <v>26811.333333333332</v>
      </c>
      <c r="U10" s="48">
        <f>(58217-18000)/12*7</f>
        <v>23459.916666666664</v>
      </c>
      <c r="V10" s="48">
        <f>(58217-18000)/12*6</f>
        <v>20108.5</v>
      </c>
      <c r="W10" s="48">
        <f>(58217-18000)/12*5</f>
        <v>16757.083333333332</v>
      </c>
      <c r="X10" s="48">
        <f>(58217-18000)/12*4</f>
        <v>13405.666666666666</v>
      </c>
      <c r="Y10" s="48">
        <f>(58217-18000)/12*3</f>
        <v>10054.25</v>
      </c>
      <c r="Z10" s="48">
        <f>(58217-18000)/12*2</f>
        <v>6702.833333333333</v>
      </c>
      <c r="AA10" s="48">
        <f>(58217-18000)/12</f>
        <v>3351.4166666666665</v>
      </c>
    </row>
    <row r="11" spans="1:39" ht="14.25" customHeight="1" x14ac:dyDescent="0.25">
      <c r="C11" s="1" t="s">
        <v>40</v>
      </c>
      <c r="D11" s="24">
        <f t="shared" ref="D11:AA11" si="3">+D9-D10</f>
        <v>772.04000000000087</v>
      </c>
      <c r="E11" s="24">
        <f t="shared" si="3"/>
        <v>2169.4733333333315</v>
      </c>
      <c r="F11" s="24">
        <f t="shared" si="3"/>
        <v>2974.0366666666632</v>
      </c>
      <c r="G11" s="24">
        <f t="shared" si="3"/>
        <v>4078.5600000000013</v>
      </c>
      <c r="H11" s="24">
        <f t="shared" si="3"/>
        <v>4163.1333333333314</v>
      </c>
      <c r="I11" s="24">
        <f t="shared" si="3"/>
        <v>5096.7166666666672</v>
      </c>
      <c r="J11" s="24">
        <f t="shared" si="3"/>
        <v>5572.1100000000006</v>
      </c>
      <c r="K11" s="24">
        <f t="shared" si="3"/>
        <v>4537.0433333333385</v>
      </c>
      <c r="L11" s="24">
        <f t="shared" si="3"/>
        <v>5214.4966666666605</v>
      </c>
      <c r="M11" s="24">
        <f t="shared" si="3"/>
        <v>5795.2799999999988</v>
      </c>
      <c r="N11" s="24">
        <f t="shared" si="3"/>
        <v>3265.7533333333386</v>
      </c>
      <c r="O11" s="24">
        <f t="shared" si="3"/>
        <v>3030.5166666666651</v>
      </c>
      <c r="P11" s="24">
        <f t="shared" si="3"/>
        <v>3662.2200000000012</v>
      </c>
      <c r="Q11" s="24">
        <f t="shared" si="3"/>
        <v>3975.2666666666773</v>
      </c>
      <c r="R11" s="24">
        <f t="shared" si="3"/>
        <v>593.93333333334158</v>
      </c>
      <c r="S11" s="24">
        <f t="shared" si="3"/>
        <v>-6790.320000000007</v>
      </c>
      <c r="T11" s="24">
        <f t="shared" si="3"/>
        <v>-5462.6533333333391</v>
      </c>
      <c r="U11" s="24">
        <f t="shared" si="3"/>
        <v>-3953.9166666666642</v>
      </c>
      <c r="V11" s="24">
        <f t="shared" si="3"/>
        <v>-2083.2600000000093</v>
      </c>
      <c r="W11" s="24">
        <f t="shared" si="3"/>
        <v>-1282.0033333333449</v>
      </c>
      <c r="X11" s="24">
        <f t="shared" si="3"/>
        <v>961.24333333333743</v>
      </c>
      <c r="Y11" s="24">
        <f t="shared" si="3"/>
        <v>1101.3700000000099</v>
      </c>
      <c r="Z11" s="24">
        <f t="shared" si="3"/>
        <v>217.45666666667512</v>
      </c>
      <c r="AA11" s="24">
        <f t="shared" si="3"/>
        <v>2183.8233333333387</v>
      </c>
    </row>
    <row r="12" spans="1:39" ht="14.25" customHeight="1" x14ac:dyDescent="0.25"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3" spans="1:39" ht="14.25" customHeight="1" x14ac:dyDescent="0.25">
      <c r="C13" s="1" t="s">
        <v>61</v>
      </c>
      <c r="D13" s="48">
        <v>115540.4</v>
      </c>
      <c r="E13" s="48">
        <v>104659.05</v>
      </c>
      <c r="F13" s="48">
        <v>95877.11</v>
      </c>
      <c r="G13" s="48">
        <v>86530.68</v>
      </c>
      <c r="H13" s="48">
        <v>78335.34</v>
      </c>
      <c r="I13" s="48">
        <f>98543.87-28573.11</f>
        <v>69970.759999999995</v>
      </c>
      <c r="J13" s="48">
        <f>68115.97-9005.62</f>
        <v>59110.35</v>
      </c>
      <c r="K13" s="48">
        <f>51337.23-2013.16</f>
        <v>49324.07</v>
      </c>
      <c r="L13" s="48">
        <f>41173.06-1105.92</f>
        <v>40067.14</v>
      </c>
      <c r="M13" s="48">
        <f>31849.6-797.94</f>
        <v>31051.66</v>
      </c>
      <c r="N13" s="48">
        <f>21770.23-197.94</f>
        <v>21572.29</v>
      </c>
      <c r="O13" s="48">
        <f>13700.23-197.94</f>
        <v>13502.289999999999</v>
      </c>
      <c r="P13" s="48">
        <f>150690.29-37905.51</f>
        <v>112784.78</v>
      </c>
      <c r="Q13" s="48">
        <f>141771.38-37905.51</f>
        <v>103865.87</v>
      </c>
      <c r="R13" s="48">
        <f>131940.21-37617.8</f>
        <v>94322.409999999989</v>
      </c>
      <c r="S13" s="48">
        <f>123167.82-36987</f>
        <v>86180.82</v>
      </c>
      <c r="T13" s="48">
        <f>115581.16-36987</f>
        <v>78594.16</v>
      </c>
      <c r="U13" s="48">
        <f>100991.76-36987</f>
        <v>64004.759999999995</v>
      </c>
      <c r="V13" s="48">
        <f>89873.8-35301.79</f>
        <v>54572.01</v>
      </c>
      <c r="W13" s="48">
        <f>57686.79-10566.83</f>
        <v>47119.96</v>
      </c>
      <c r="X13" s="48">
        <f>46573.23-7698.84</f>
        <v>38874.39</v>
      </c>
      <c r="Y13" s="48">
        <f>35702.89-6835.98</f>
        <v>28866.91</v>
      </c>
      <c r="Z13" s="48">
        <f>15509.91-392.48</f>
        <v>15117.43</v>
      </c>
      <c r="AA13" s="48">
        <f>9727.03-198.3</f>
        <v>9528.7300000000014</v>
      </c>
      <c r="AB13" s="48">
        <f>165283.61-55089.91</f>
        <v>110193.69999999998</v>
      </c>
      <c r="AC13" s="48">
        <f>154985.88-55089.91</f>
        <v>99895.97</v>
      </c>
      <c r="AD13" s="48">
        <f>147908.73-55089.91</f>
        <v>92818.82</v>
      </c>
      <c r="AE13" s="48">
        <f>137385.94-53318.11</f>
        <v>84067.83</v>
      </c>
      <c r="AF13" s="48">
        <f>129017.7-53318.11</f>
        <v>75699.59</v>
      </c>
      <c r="AG13" s="48">
        <f>120422.8-53318.11</f>
        <v>67104.69</v>
      </c>
      <c r="AH13" s="48">
        <f>110494.93-53318.11</f>
        <v>57176.819999999992</v>
      </c>
      <c r="AI13" s="48">
        <f>102406.75-52731.61</f>
        <v>49675.14</v>
      </c>
      <c r="AJ13" s="48">
        <f>56305.75-17474.25</f>
        <v>38831.5</v>
      </c>
      <c r="AK13" s="48">
        <f>29627.71-1697.38</f>
        <v>27930.329999999998</v>
      </c>
      <c r="AL13" s="48">
        <f>19782.49-632.98</f>
        <v>19149.510000000002</v>
      </c>
      <c r="AM13" s="48">
        <f>9721.86-132.98</f>
        <v>9588.880000000001</v>
      </c>
    </row>
    <row r="14" spans="1:39" ht="14.25" customHeight="1" x14ac:dyDescent="0.25">
      <c r="C14" s="1" t="s">
        <v>43</v>
      </c>
      <c r="D14" s="48">
        <f>+(169577-41565)/12*12</f>
        <v>128012</v>
      </c>
      <c r="E14" s="48">
        <f>+(169577-41565)/12*11</f>
        <v>117344.33333333333</v>
      </c>
      <c r="F14" s="48">
        <f>+(169577-41565)/12*10</f>
        <v>106676.66666666666</v>
      </c>
      <c r="G14" s="48">
        <f>+(169577-41565)/12*9</f>
        <v>96009</v>
      </c>
      <c r="H14" s="48">
        <f>+(169577-41565)/12*8</f>
        <v>85341.333333333328</v>
      </c>
      <c r="I14" s="48">
        <f>+(169577-41565)/12*7</f>
        <v>74673.666666666657</v>
      </c>
      <c r="J14" s="48">
        <f>+(169577-41565)/12*6</f>
        <v>64006</v>
      </c>
      <c r="K14" s="48">
        <f>+(169577-41565)/12*5</f>
        <v>53338.333333333328</v>
      </c>
      <c r="L14" s="48">
        <f>+(169577-41565)/12*4</f>
        <v>42670.666666666664</v>
      </c>
      <c r="M14" s="48">
        <f>+(169577-41565)/12*3</f>
        <v>32003</v>
      </c>
      <c r="N14" s="48">
        <f>+(169577-41565)/12*2</f>
        <v>21335.333333333332</v>
      </c>
      <c r="O14" s="48">
        <f>+(169577-41565)/12</f>
        <v>10667.666666666666</v>
      </c>
      <c r="P14" s="48">
        <f>+(171526-40275)/12*12</f>
        <v>131251</v>
      </c>
      <c r="Q14" s="48">
        <f>+(171526-40275)/12*11</f>
        <v>120313.41666666667</v>
      </c>
      <c r="R14" s="48">
        <f>+(171526-40275)/12*10</f>
        <v>109375.83333333334</v>
      </c>
      <c r="S14" s="48">
        <f>+(171526-40275)/12*9</f>
        <v>98438.25</v>
      </c>
      <c r="T14" s="48">
        <f>+(171526-40275)/12*8</f>
        <v>87500.666666666672</v>
      </c>
      <c r="U14" s="48">
        <f>+(171526-40275)/12*7</f>
        <v>76563.083333333343</v>
      </c>
      <c r="V14" s="48">
        <f>+(171526-40275)/12*6</f>
        <v>65625.5</v>
      </c>
      <c r="W14" s="48">
        <f>+(171526-40275)/12*5</f>
        <v>54687.916666666672</v>
      </c>
      <c r="X14" s="48">
        <f>+(171526-40275)/12*4</f>
        <v>43750.333333333336</v>
      </c>
      <c r="Y14" s="48">
        <f>+(171526-40275)/12*3</f>
        <v>32812.75</v>
      </c>
      <c r="Z14" s="48">
        <f>+(171526-40275)/12*2</f>
        <v>21875.166666666668</v>
      </c>
      <c r="AA14" s="48">
        <f>+(171526-40275)/12</f>
        <v>10937.583333333334</v>
      </c>
      <c r="AB14" s="48">
        <f>131660/12*12</f>
        <v>131660</v>
      </c>
      <c r="AC14" s="48">
        <f>131660/12*11</f>
        <v>120688.33333333333</v>
      </c>
      <c r="AD14" s="48">
        <f>131660/12*10</f>
        <v>109716.66666666666</v>
      </c>
      <c r="AE14" s="48">
        <f>131660/12*9</f>
        <v>98745</v>
      </c>
      <c r="AF14" s="48">
        <f>131660/12*8</f>
        <v>87773.333333333328</v>
      </c>
      <c r="AG14" s="48">
        <f>131660/12*7</f>
        <v>76801.666666666657</v>
      </c>
      <c r="AH14" s="48">
        <f>131660/12*6</f>
        <v>65830</v>
      </c>
      <c r="AI14" s="48">
        <f>131660/12*5</f>
        <v>54858.333333333328</v>
      </c>
      <c r="AJ14" s="48">
        <f>131660/12*4</f>
        <v>43886.666666666664</v>
      </c>
      <c r="AK14" s="48">
        <f>131660/12*3</f>
        <v>32915</v>
      </c>
      <c r="AL14" s="48">
        <f>131660/12*2</f>
        <v>21943.333333333332</v>
      </c>
      <c r="AM14" s="48">
        <f>131660/12</f>
        <v>10971.666666666666</v>
      </c>
    </row>
    <row r="15" spans="1:39" ht="14.25" customHeight="1" x14ac:dyDescent="0.25">
      <c r="C15" s="1" t="s">
        <v>44</v>
      </c>
      <c r="D15" s="24">
        <f t="shared" ref="D15:AM15" si="4">+D14-D13</f>
        <v>12471.600000000006</v>
      </c>
      <c r="E15" s="24">
        <f t="shared" si="4"/>
        <v>12685.283333333326</v>
      </c>
      <c r="F15" s="24">
        <f t="shared" si="4"/>
        <v>10799.556666666656</v>
      </c>
      <c r="G15" s="24">
        <f t="shared" si="4"/>
        <v>9478.320000000007</v>
      </c>
      <c r="H15" s="24">
        <f t="shared" si="4"/>
        <v>7005.993333333332</v>
      </c>
      <c r="I15" s="24">
        <f t="shared" si="4"/>
        <v>4702.9066666666622</v>
      </c>
      <c r="J15" s="24">
        <f t="shared" si="4"/>
        <v>4895.6500000000015</v>
      </c>
      <c r="K15" s="24">
        <f t="shared" si="4"/>
        <v>4014.2633333333288</v>
      </c>
      <c r="L15" s="24">
        <f t="shared" si="4"/>
        <v>2603.5266666666648</v>
      </c>
      <c r="M15" s="24">
        <f t="shared" si="4"/>
        <v>951.34000000000015</v>
      </c>
      <c r="N15" s="24">
        <f t="shared" si="4"/>
        <v>-236.95666666666875</v>
      </c>
      <c r="O15" s="24">
        <f t="shared" si="4"/>
        <v>-2834.623333333333</v>
      </c>
      <c r="P15" s="24">
        <f t="shared" si="4"/>
        <v>18466.22</v>
      </c>
      <c r="Q15" s="24">
        <f t="shared" si="4"/>
        <v>16447.546666666676</v>
      </c>
      <c r="R15" s="24">
        <f t="shared" si="4"/>
        <v>15053.423333333354</v>
      </c>
      <c r="S15" s="24">
        <f t="shared" si="4"/>
        <v>12257.429999999993</v>
      </c>
      <c r="T15" s="24">
        <f t="shared" si="4"/>
        <v>8906.506666666668</v>
      </c>
      <c r="U15" s="24">
        <f t="shared" si="4"/>
        <v>12558.323333333348</v>
      </c>
      <c r="V15" s="24">
        <f t="shared" si="4"/>
        <v>11053.489999999998</v>
      </c>
      <c r="W15" s="24">
        <f t="shared" si="4"/>
        <v>7567.9566666666724</v>
      </c>
      <c r="X15" s="24">
        <f t="shared" si="4"/>
        <v>4875.9433333333363</v>
      </c>
      <c r="Y15" s="24">
        <f t="shared" si="4"/>
        <v>3945.84</v>
      </c>
      <c r="Z15" s="24">
        <f t="shared" si="4"/>
        <v>6757.7366666666676</v>
      </c>
      <c r="AA15" s="24">
        <f t="shared" si="4"/>
        <v>1408.8533333333326</v>
      </c>
      <c r="AB15" s="24">
        <f t="shared" si="4"/>
        <v>21466.300000000017</v>
      </c>
      <c r="AC15" s="24">
        <f t="shared" si="4"/>
        <v>20792.363333333327</v>
      </c>
      <c r="AD15" s="24">
        <f t="shared" si="4"/>
        <v>16897.84666666665</v>
      </c>
      <c r="AE15" s="24">
        <f t="shared" si="4"/>
        <v>14677.169999999998</v>
      </c>
      <c r="AF15" s="24">
        <f t="shared" si="4"/>
        <v>12073.743333333332</v>
      </c>
      <c r="AG15" s="24">
        <f t="shared" si="4"/>
        <v>9696.9766666666546</v>
      </c>
      <c r="AH15" s="24">
        <f t="shared" si="4"/>
        <v>8653.1800000000076</v>
      </c>
      <c r="AI15" s="24">
        <f t="shared" si="4"/>
        <v>5183.1933333333291</v>
      </c>
      <c r="AJ15" s="24">
        <f t="shared" si="4"/>
        <v>5055.1666666666642</v>
      </c>
      <c r="AK15" s="24">
        <f t="shared" si="4"/>
        <v>4984.6700000000019</v>
      </c>
      <c r="AL15" s="24">
        <f t="shared" si="4"/>
        <v>2793.8233333333301</v>
      </c>
      <c r="AM15" s="24">
        <f t="shared" si="4"/>
        <v>1382.786666666665</v>
      </c>
    </row>
    <row r="16" spans="1:39" ht="14.25" customHeight="1" x14ac:dyDescent="0.25"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</row>
    <row r="17" spans="3:39" ht="14.25" customHeight="1" x14ac:dyDescent="0.25">
      <c r="C17" s="1" t="s">
        <v>46</v>
      </c>
      <c r="D17" s="27">
        <f t="shared" ref="D17:AA17" si="5">+D15+D7+D11</f>
        <v>9155.6400000000103</v>
      </c>
      <c r="E17" s="27">
        <f t="shared" si="5"/>
        <v>10807.483939393935</v>
      </c>
      <c r="F17" s="27">
        <f t="shared" si="5"/>
        <v>9791.9933333333211</v>
      </c>
      <c r="G17" s="27">
        <f t="shared" si="5"/>
        <v>9580.8800000000047</v>
      </c>
      <c r="H17" s="27">
        <f t="shared" si="5"/>
        <v>7095.1266666666634</v>
      </c>
      <c r="I17" s="27">
        <f t="shared" si="5"/>
        <v>5815.6233333333275</v>
      </c>
      <c r="J17" s="27">
        <f t="shared" si="5"/>
        <v>6407.7599999999984</v>
      </c>
      <c r="K17" s="27">
        <f t="shared" si="5"/>
        <v>4384.9066666666658</v>
      </c>
      <c r="L17" s="27">
        <f t="shared" si="5"/>
        <v>3660.0233333333254</v>
      </c>
      <c r="M17" s="27">
        <f t="shared" si="5"/>
        <v>2602.6199999999953</v>
      </c>
      <c r="N17" s="27">
        <f t="shared" si="5"/>
        <v>-1339.2033333333302</v>
      </c>
      <c r="O17" s="27">
        <f t="shared" si="5"/>
        <v>-3836.1066666666679</v>
      </c>
      <c r="P17" s="27">
        <f t="shared" si="5"/>
        <v>19118.439999999999</v>
      </c>
      <c r="Q17" s="27">
        <f t="shared" si="5"/>
        <v>17322.449696969721</v>
      </c>
      <c r="R17" s="27">
        <f t="shared" si="5"/>
        <v>12404.956666666694</v>
      </c>
      <c r="S17" s="27">
        <f t="shared" si="5"/>
        <v>2144.44333333332</v>
      </c>
      <c r="T17" s="27">
        <f t="shared" si="5"/>
        <v>125.85333333332892</v>
      </c>
      <c r="U17" s="27">
        <f t="shared" si="5"/>
        <v>5340.4066666666804</v>
      </c>
      <c r="V17" s="27">
        <f t="shared" si="5"/>
        <v>6002.229999999985</v>
      </c>
      <c r="W17" s="27">
        <f t="shared" si="5"/>
        <v>3429.9533333333275</v>
      </c>
      <c r="X17" s="27">
        <f t="shared" si="5"/>
        <v>2939.1866666666738</v>
      </c>
      <c r="Y17" s="27">
        <f t="shared" si="5"/>
        <v>2303.2100000000132</v>
      </c>
      <c r="Z17" s="27">
        <f t="shared" si="5"/>
        <v>4287.1933333333427</v>
      </c>
      <c r="AA17" s="27">
        <f t="shared" si="5"/>
        <v>1576.6766666666713</v>
      </c>
      <c r="AB17" s="27">
        <f t="shared" ref="AB17:AM17" si="6">+AB15+AB7</f>
        <v>16823.390909090929</v>
      </c>
      <c r="AC17" s="27">
        <f t="shared" si="6"/>
        <v>16149.454242424239</v>
      </c>
      <c r="AD17" s="27">
        <f t="shared" si="6"/>
        <v>12160.246666666651</v>
      </c>
      <c r="AE17" s="27">
        <f t="shared" si="6"/>
        <v>9842.5033333333322</v>
      </c>
      <c r="AF17" s="27">
        <f t="shared" si="6"/>
        <v>7159.743333333332</v>
      </c>
      <c r="AG17" s="27">
        <f t="shared" si="6"/>
        <v>4728.9766666666574</v>
      </c>
      <c r="AH17" s="27">
        <f t="shared" si="6"/>
        <v>3641.1800000000112</v>
      </c>
      <c r="AI17" s="27">
        <f t="shared" si="6"/>
        <v>176.79333333332761</v>
      </c>
      <c r="AJ17" s="27">
        <f t="shared" si="6"/>
        <v>141.16666666666424</v>
      </c>
      <c r="AK17" s="27">
        <f t="shared" si="6"/>
        <v>-559.32999999999811</v>
      </c>
      <c r="AL17" s="27">
        <f t="shared" si="6"/>
        <v>-1658.1766666666699</v>
      </c>
      <c r="AM17" s="27">
        <f t="shared" si="6"/>
        <v>-2145.213333333335</v>
      </c>
    </row>
    <row r="18" spans="3:39" ht="14.25" customHeight="1" x14ac:dyDescent="0.2"/>
    <row r="19" spans="3:39" ht="14.25" customHeight="1" x14ac:dyDescent="0.25">
      <c r="C19" s="1" t="s">
        <v>48</v>
      </c>
      <c r="D19" s="25">
        <v>183451.03</v>
      </c>
      <c r="E19" s="25">
        <v>165527.87</v>
      </c>
      <c r="F19" s="25">
        <v>169705.41</v>
      </c>
      <c r="G19" s="25">
        <v>171598.07</v>
      </c>
      <c r="H19" s="25">
        <v>171675.05</v>
      </c>
      <c r="I19" s="48">
        <v>174179.87</v>
      </c>
      <c r="J19" s="48">
        <v>196037.68</v>
      </c>
      <c r="K19" s="48">
        <v>201222.8</v>
      </c>
      <c r="L19" s="48">
        <v>199351.59</v>
      </c>
      <c r="M19" s="48">
        <v>182578.38</v>
      </c>
      <c r="N19" s="48">
        <v>172974.49</v>
      </c>
      <c r="O19" s="48">
        <v>168857.21</v>
      </c>
      <c r="P19" s="48">
        <v>158743.64000000001</v>
      </c>
      <c r="Q19" s="48">
        <v>138236.38</v>
      </c>
      <c r="R19" s="48">
        <v>139914.1</v>
      </c>
      <c r="S19" s="48">
        <v>136897.97</v>
      </c>
      <c r="T19" s="48">
        <v>133154.15</v>
      </c>
      <c r="U19" s="48">
        <v>141056.29</v>
      </c>
      <c r="V19" s="48">
        <v>146472.87</v>
      </c>
      <c r="W19" s="48">
        <v>171294.25</v>
      </c>
      <c r="X19" s="48">
        <v>171543.28</v>
      </c>
      <c r="Y19" s="48">
        <v>155924.75</v>
      </c>
      <c r="Z19" s="48">
        <v>154498.1</v>
      </c>
      <c r="AA19" s="48">
        <v>152371.14000000001</v>
      </c>
      <c r="AB19" s="48">
        <v>120388.32</v>
      </c>
      <c r="AC19" s="48">
        <v>99920.19</v>
      </c>
      <c r="AD19" s="48">
        <v>101238.88</v>
      </c>
      <c r="AE19" s="48">
        <v>105639.09</v>
      </c>
      <c r="AF19" s="48">
        <v>108992.54</v>
      </c>
      <c r="AG19" s="48">
        <v>112437.44</v>
      </c>
      <c r="AH19" s="48">
        <v>113633.69</v>
      </c>
      <c r="AI19" s="48">
        <v>115805.19</v>
      </c>
      <c r="AJ19" s="48">
        <v>157672.74</v>
      </c>
      <c r="AK19" s="48">
        <v>164947.21</v>
      </c>
      <c r="AL19" s="48">
        <v>154575.5</v>
      </c>
      <c r="AM19" s="48">
        <v>151253.48000000001</v>
      </c>
    </row>
    <row r="20" spans="3:39" ht="14.25" customHeight="1" x14ac:dyDescent="0.25">
      <c r="C20" s="1" t="s">
        <v>50</v>
      </c>
      <c r="D20" s="26">
        <v>-50647.44</v>
      </c>
      <c r="E20" s="26">
        <v>-48110.63</v>
      </c>
      <c r="F20" s="26">
        <v>-47041.58</v>
      </c>
      <c r="G20" s="26">
        <v>-47041.58</v>
      </c>
      <c r="H20" s="26">
        <v>-47041.58</v>
      </c>
      <c r="I20" s="48">
        <v>-47041.58</v>
      </c>
      <c r="J20" s="48">
        <v>-47041.58</v>
      </c>
      <c r="K20" s="48">
        <v>-47041.58</v>
      </c>
      <c r="L20" s="48">
        <v>-47041.58</v>
      </c>
      <c r="M20" s="48">
        <v>-47041.58</v>
      </c>
      <c r="N20" s="48">
        <v>-47041.58</v>
      </c>
      <c r="O20" s="48">
        <v>-47041.58</v>
      </c>
      <c r="P20" s="48">
        <v>-46210.35</v>
      </c>
      <c r="Q20" s="48">
        <v>-46210.35</v>
      </c>
      <c r="R20" s="48">
        <v>-46210.35</v>
      </c>
      <c r="S20" s="48">
        <v>-46210.35</v>
      </c>
      <c r="T20" s="48">
        <v>-46210.35</v>
      </c>
      <c r="U20" s="48">
        <v>-46210.35</v>
      </c>
      <c r="V20" s="48">
        <v>-46210.35</v>
      </c>
      <c r="W20" s="48">
        <v>-46210.35</v>
      </c>
      <c r="X20" s="48">
        <v>-46210.35</v>
      </c>
      <c r="Y20" s="48">
        <v>-46210.35</v>
      </c>
      <c r="Z20" s="48">
        <v>-46210.35</v>
      </c>
      <c r="AA20" s="48">
        <v>-46210.35</v>
      </c>
      <c r="AB20" s="48">
        <v>-47919.53</v>
      </c>
      <c r="AC20" s="48">
        <v>-47919.53</v>
      </c>
      <c r="AD20" s="48">
        <v>-47919.53</v>
      </c>
      <c r="AE20" s="48">
        <v>-47919.53</v>
      </c>
      <c r="AF20" s="48">
        <v>-47919.53</v>
      </c>
      <c r="AG20" s="48">
        <v>-47919.53</v>
      </c>
      <c r="AH20" s="48">
        <v>-47919.53</v>
      </c>
      <c r="AI20" s="48">
        <v>-47919.53</v>
      </c>
      <c r="AJ20" s="48">
        <v>-47919.53</v>
      </c>
      <c r="AK20" s="48">
        <v>-47919.53</v>
      </c>
      <c r="AL20" s="48">
        <v>-47919.53</v>
      </c>
      <c r="AM20" s="48">
        <v>-47919.53</v>
      </c>
    </row>
    <row r="21" spans="3:39" ht="14.25" customHeight="1" x14ac:dyDescent="0.25">
      <c r="D21" s="28">
        <f t="shared" ref="D21:AM21" si="7">SUM(D19:D20)</f>
        <v>132803.59</v>
      </c>
      <c r="E21" s="28">
        <f t="shared" si="7"/>
        <v>117417.23999999999</v>
      </c>
      <c r="F21" s="28">
        <f t="shared" si="7"/>
        <v>122663.83</v>
      </c>
      <c r="G21" s="28">
        <f t="shared" si="7"/>
        <v>124556.49</v>
      </c>
      <c r="H21" s="28">
        <f t="shared" si="7"/>
        <v>124633.46999999999</v>
      </c>
      <c r="I21" s="28">
        <f t="shared" si="7"/>
        <v>127138.29</v>
      </c>
      <c r="J21" s="28">
        <f t="shared" si="7"/>
        <v>148996.09999999998</v>
      </c>
      <c r="K21" s="28">
        <f t="shared" si="7"/>
        <v>154181.21999999997</v>
      </c>
      <c r="L21" s="28">
        <f t="shared" si="7"/>
        <v>152310.01</v>
      </c>
      <c r="M21" s="28">
        <f t="shared" si="7"/>
        <v>135536.79999999999</v>
      </c>
      <c r="N21" s="28">
        <f t="shared" si="7"/>
        <v>125932.90999999999</v>
      </c>
      <c r="O21" s="28">
        <f t="shared" si="7"/>
        <v>121815.62999999999</v>
      </c>
      <c r="P21" s="28">
        <f t="shared" si="7"/>
        <v>112533.29000000001</v>
      </c>
      <c r="Q21" s="28">
        <f t="shared" si="7"/>
        <v>92026.03</v>
      </c>
      <c r="R21" s="28">
        <f t="shared" si="7"/>
        <v>93703.75</v>
      </c>
      <c r="S21" s="28">
        <f t="shared" si="7"/>
        <v>90687.62</v>
      </c>
      <c r="T21" s="28">
        <f t="shared" si="7"/>
        <v>86943.799999999988</v>
      </c>
      <c r="U21" s="28">
        <f t="shared" si="7"/>
        <v>94845.94</v>
      </c>
      <c r="V21" s="28">
        <f t="shared" si="7"/>
        <v>100262.51999999999</v>
      </c>
      <c r="W21" s="28">
        <f t="shared" si="7"/>
        <v>125083.9</v>
      </c>
      <c r="X21" s="28">
        <f t="shared" si="7"/>
        <v>125332.93</v>
      </c>
      <c r="Y21" s="28">
        <f t="shared" si="7"/>
        <v>109714.4</v>
      </c>
      <c r="Z21" s="28">
        <f t="shared" si="7"/>
        <v>108287.75</v>
      </c>
      <c r="AA21" s="28">
        <f t="shared" si="7"/>
        <v>106160.79000000001</v>
      </c>
      <c r="AB21" s="28">
        <f t="shared" si="7"/>
        <v>72468.790000000008</v>
      </c>
      <c r="AC21" s="28">
        <f t="shared" si="7"/>
        <v>52000.66</v>
      </c>
      <c r="AD21" s="28">
        <f t="shared" si="7"/>
        <v>53319.350000000006</v>
      </c>
      <c r="AE21" s="28">
        <f t="shared" si="7"/>
        <v>57719.56</v>
      </c>
      <c r="AF21" s="28">
        <f t="shared" si="7"/>
        <v>61073.009999999995</v>
      </c>
      <c r="AG21" s="28">
        <f t="shared" si="7"/>
        <v>64517.91</v>
      </c>
      <c r="AH21" s="28">
        <f t="shared" si="7"/>
        <v>65714.16</v>
      </c>
      <c r="AI21" s="28">
        <f t="shared" si="7"/>
        <v>67885.66</v>
      </c>
      <c r="AJ21" s="28">
        <f t="shared" si="7"/>
        <v>109753.20999999999</v>
      </c>
      <c r="AK21" s="28">
        <f t="shared" si="7"/>
        <v>117027.68</v>
      </c>
      <c r="AL21" s="28">
        <f t="shared" si="7"/>
        <v>106655.97</v>
      </c>
      <c r="AM21" s="28">
        <f t="shared" si="7"/>
        <v>103333.95000000001</v>
      </c>
    </row>
    <row r="22" spans="3:39" ht="14.25" customHeight="1" x14ac:dyDescent="0.2"/>
    <row r="23" spans="3:39" ht="14.25" customHeight="1" x14ac:dyDescent="0.25">
      <c r="C23" s="1" t="s">
        <v>52</v>
      </c>
      <c r="D23" s="59">
        <v>11273.89</v>
      </c>
      <c r="E23" s="59">
        <v>11273.89</v>
      </c>
      <c r="F23" s="59">
        <v>11273.89</v>
      </c>
      <c r="G23" s="59">
        <v>11273.89</v>
      </c>
      <c r="H23" s="59">
        <v>11273.89</v>
      </c>
      <c r="I23" s="59">
        <v>11273.89</v>
      </c>
      <c r="J23" s="59"/>
      <c r="K23" s="59"/>
      <c r="L23" s="59"/>
      <c r="M23" s="59"/>
      <c r="N23" s="59"/>
      <c r="O23" s="59"/>
      <c r="P23" s="59">
        <v>12836.49</v>
      </c>
      <c r="Q23" s="59">
        <v>12836.49</v>
      </c>
      <c r="R23" s="59">
        <v>13124.2</v>
      </c>
      <c r="S23" s="59">
        <v>13755</v>
      </c>
      <c r="T23" s="59">
        <v>13755</v>
      </c>
      <c r="U23" s="59">
        <v>13755</v>
      </c>
      <c r="V23" s="59">
        <v>15375.21</v>
      </c>
      <c r="W23" s="60" t="s">
        <v>53</v>
      </c>
      <c r="X23" s="60" t="s">
        <v>53</v>
      </c>
      <c r="Y23" s="60" t="s">
        <v>53</v>
      </c>
      <c r="Z23" s="60" t="s">
        <v>53</v>
      </c>
      <c r="AA23" s="60" t="s">
        <v>53</v>
      </c>
      <c r="AB23" s="59">
        <v>-17550.150000000001</v>
      </c>
      <c r="AC23" s="59">
        <v>-17550.150000000001</v>
      </c>
      <c r="AD23" s="59">
        <v>-17550.150000000001</v>
      </c>
      <c r="AE23" s="59">
        <v>-15778.35</v>
      </c>
      <c r="AF23" s="59">
        <v>-15778.35</v>
      </c>
      <c r="AG23" s="59">
        <v>-15778.35</v>
      </c>
      <c r="AH23" s="59">
        <v>-15778.35</v>
      </c>
      <c r="AI23" s="59">
        <v>-15191.85</v>
      </c>
      <c r="AJ23" s="60" t="s">
        <v>53</v>
      </c>
      <c r="AK23" s="60" t="s">
        <v>53</v>
      </c>
      <c r="AL23" s="60" t="s">
        <v>53</v>
      </c>
      <c r="AM23" s="60" t="s">
        <v>53</v>
      </c>
    </row>
    <row r="24" spans="3:39" ht="14.25" customHeight="1" x14ac:dyDescent="0.2"/>
    <row r="25" spans="3:39" ht="14.25" customHeight="1" x14ac:dyDescent="0.25">
      <c r="Q25" s="48"/>
      <c r="R25" s="48"/>
    </row>
    <row r="26" spans="3:39" ht="14.25" customHeight="1" x14ac:dyDescent="0.25">
      <c r="I26" s="61"/>
      <c r="J26" s="61"/>
      <c r="K26" s="61"/>
      <c r="L26" s="61"/>
      <c r="M26" s="61"/>
      <c r="N26" s="61"/>
      <c r="O26" s="61"/>
      <c r="P26" s="61"/>
      <c r="Z26" s="48"/>
    </row>
    <row r="27" spans="3:39" ht="14.25" customHeight="1" x14ac:dyDescent="0.2"/>
    <row r="28" spans="3:39" ht="14.25" customHeight="1" x14ac:dyDescent="0.2"/>
    <row r="29" spans="3:39" ht="14.25" customHeight="1" x14ac:dyDescent="0.2"/>
    <row r="30" spans="3:39" ht="14.25" customHeight="1" x14ac:dyDescent="0.25">
      <c r="Z30" s="48"/>
    </row>
    <row r="31" spans="3:39" ht="14.25" customHeight="1" x14ac:dyDescent="0.2"/>
    <row r="32" spans="3:39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2">
    <mergeCell ref="P1:R1"/>
    <mergeCell ref="AB1:AD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Gwen Henson</dc:creator>
  <cp:keywords/>
  <dc:description/>
  <cp:lastModifiedBy>Joe Benzer</cp:lastModifiedBy>
  <cp:revision/>
  <dcterms:created xsi:type="dcterms:W3CDTF">2015-02-26T04:19:23Z</dcterms:created>
  <dcterms:modified xsi:type="dcterms:W3CDTF">2025-12-03T20:47:29Z</dcterms:modified>
  <cp:category/>
  <cp:contentStatus/>
</cp:coreProperties>
</file>