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10\"/>
    </mc:Choice>
  </mc:AlternateContent>
  <xr:revisionPtr revIDLastSave="0" documentId="13_ncr:1_{2E5EF8D0-98ED-4479-91BC-8121E9D91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3" i="11" l="1"/>
  <c r="E9" i="11"/>
  <c r="E14" i="11"/>
  <c r="E10" i="11"/>
  <c r="E3" i="11"/>
  <c r="E21" i="11" l="1"/>
  <c r="E15" i="11"/>
  <c r="E11" i="11"/>
  <c r="E5" i="11"/>
  <c r="E4" i="11"/>
  <c r="E6" i="11" s="1"/>
  <c r="E7" i="11" s="1"/>
  <c r="F13" i="11"/>
  <c r="F14" i="11"/>
  <c r="F10" i="11"/>
  <c r="F9" i="11"/>
  <c r="F3" i="11"/>
  <c r="E17" i="11" l="1"/>
  <c r="F21" i="11"/>
  <c r="F15" i="11"/>
  <c r="F11" i="11"/>
  <c r="F5" i="11"/>
  <c r="G13" i="11"/>
  <c r="G9" i="11"/>
  <c r="G14" i="11"/>
  <c r="G10" i="11"/>
  <c r="G3" i="11"/>
  <c r="G21" i="11" l="1"/>
  <c r="G15" i="11"/>
  <c r="G11" i="11"/>
  <c r="G5" i="11"/>
  <c r="H13" i="11"/>
  <c r="H14" i="11"/>
  <c r="H10" i="11"/>
  <c r="H9" i="11"/>
  <c r="H3" i="11"/>
  <c r="F4" i="11" s="1"/>
  <c r="F6" i="11" s="1"/>
  <c r="F7" i="11" s="1"/>
  <c r="F17" i="11" s="1"/>
  <c r="H21" i="11" l="1"/>
  <c r="H15" i="11"/>
  <c r="H11" i="11"/>
  <c r="H5" i="11"/>
  <c r="I13" i="11"/>
  <c r="I9" i="11"/>
  <c r="I3" i="11" l="1"/>
  <c r="I14" i="11"/>
  <c r="I15" i="11" s="1"/>
  <c r="I10" i="11"/>
  <c r="I21" i="11"/>
  <c r="I11" i="11"/>
  <c r="I5" i="11"/>
  <c r="G4" i="11" l="1"/>
  <c r="G6" i="11" s="1"/>
  <c r="G7" i="11" s="1"/>
  <c r="G17" i="11" s="1"/>
  <c r="J14" i="11"/>
  <c r="J13" i="11"/>
  <c r="J10" i="11"/>
  <c r="J9" i="11"/>
  <c r="J3" i="11"/>
  <c r="H4" i="11" s="1"/>
  <c r="H6" i="11" s="1"/>
  <c r="H7" i="11" s="1"/>
  <c r="H17" i="11" s="1"/>
  <c r="J21" i="11" l="1"/>
  <c r="J15" i="11"/>
  <c r="J11" i="11"/>
  <c r="J5" i="11"/>
  <c r="K13" i="11"/>
  <c r="K14" i="11"/>
  <c r="K10" i="11"/>
  <c r="K9" i="11"/>
  <c r="K3" i="11"/>
  <c r="I4" i="11" s="1"/>
  <c r="I6" i="11" s="1"/>
  <c r="I7" i="11" s="1"/>
  <c r="I17" i="11" s="1"/>
  <c r="K21" i="11" l="1"/>
  <c r="K15" i="11"/>
  <c r="K11" i="11"/>
  <c r="K5" i="11"/>
  <c r="L13" i="11"/>
  <c r="L9" i="11"/>
  <c r="L14" i="11"/>
  <c r="L10" i="11"/>
  <c r="L3" i="11"/>
  <c r="J4" i="11" s="1"/>
  <c r="J6" i="11" s="1"/>
  <c r="J7" i="11" s="1"/>
  <c r="J17" i="11" s="1"/>
  <c r="E3" i="10"/>
  <c r="L21" i="11" l="1"/>
  <c r="L15" i="11"/>
  <c r="L11" i="11"/>
  <c r="L5" i="11"/>
  <c r="M13" i="11"/>
  <c r="M14" i="11"/>
  <c r="M10" i="11"/>
  <c r="M9" i="11"/>
  <c r="M3" i="11"/>
  <c r="K4" i="11" s="1"/>
  <c r="K6" i="11" s="1"/>
  <c r="K7" i="11" s="1"/>
  <c r="K17" i="11" s="1"/>
  <c r="M21" i="11" l="1"/>
  <c r="M15" i="11"/>
  <c r="M11" i="11"/>
  <c r="M5" i="11"/>
  <c r="N14" i="11"/>
  <c r="N13" i="11"/>
  <c r="N10" i="11"/>
  <c r="N9" i="11"/>
  <c r="N3" i="11"/>
  <c r="L4" i="11" s="1"/>
  <c r="L6" i="11" s="1"/>
  <c r="L7" i="11" s="1"/>
  <c r="L17" i="11" s="1"/>
  <c r="N21" i="11" l="1"/>
  <c r="N15" i="11"/>
  <c r="N11" i="11"/>
  <c r="N5" i="11"/>
  <c r="EC21" i="11"/>
  <c r="EB21" i="11"/>
  <c r="EA21" i="11"/>
  <c r="DZ21" i="11"/>
  <c r="DY21" i="11"/>
  <c r="DX21" i="11"/>
  <c r="DW21" i="11"/>
  <c r="DV21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EC14" i="11"/>
  <c r="EB14" i="11"/>
  <c r="EA14" i="11"/>
  <c r="DZ14" i="11"/>
  <c r="DY14" i="11"/>
  <c r="DX14" i="11"/>
  <c r="DW14" i="11"/>
  <c r="DV14" i="11"/>
  <c r="DU14" i="11"/>
  <c r="DT14" i="11"/>
  <c r="DS14" i="11"/>
  <c r="DR14" i="11"/>
  <c r="DQ14" i="1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D14" i="11"/>
  <c r="DC14" i="11"/>
  <c r="DB14" i="11"/>
  <c r="DA14" i="11"/>
  <c r="CZ14" i="11"/>
  <c r="CY14" i="11"/>
  <c r="CY15" i="11" s="1"/>
  <c r="CX14" i="11"/>
  <c r="CX15" i="11" s="1"/>
  <c r="CW14" i="11"/>
  <c r="CW15" i="11" s="1"/>
  <c r="CV14" i="11"/>
  <c r="CV15" i="11" s="1"/>
  <c r="CU14" i="11"/>
  <c r="CU15" i="11" s="1"/>
  <c r="CT14" i="11"/>
  <c r="CS14" i="11"/>
  <c r="CR14" i="11"/>
  <c r="CQ14" i="11"/>
  <c r="CP14" i="11"/>
  <c r="CO14" i="11"/>
  <c r="CO15" i="11" s="1"/>
  <c r="CN14" i="11"/>
  <c r="CM14" i="11"/>
  <c r="CL14" i="11"/>
  <c r="CK14" i="11"/>
  <c r="CJ14" i="11"/>
  <c r="CI14" i="11"/>
  <c r="CH14" i="11"/>
  <c r="CH15" i="11" s="1"/>
  <c r="CG14" i="11"/>
  <c r="CF14" i="11"/>
  <c r="CE14" i="11"/>
  <c r="CD14" i="11"/>
  <c r="CC14" i="11"/>
  <c r="CC15" i="11" s="1"/>
  <c r="CB14" i="11"/>
  <c r="CA14" i="11"/>
  <c r="BZ14" i="11"/>
  <c r="BY14" i="11"/>
  <c r="BX14" i="11"/>
  <c r="BW14" i="11"/>
  <c r="BV14" i="11"/>
  <c r="BU14" i="11"/>
  <c r="BT14" i="11"/>
  <c r="BS14" i="11"/>
  <c r="BR14" i="11"/>
  <c r="BQ14" i="11"/>
  <c r="BQ15" i="11" s="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E15" i="11" s="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G15" i="11" s="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U15" i="11" s="1"/>
  <c r="T14" i="11"/>
  <c r="S14" i="11"/>
  <c r="R14" i="11"/>
  <c r="Q14" i="11"/>
  <c r="P14" i="11"/>
  <c r="O14" i="11"/>
  <c r="EC13" i="11"/>
  <c r="EB13" i="11"/>
  <c r="EA13" i="11"/>
  <c r="DZ13" i="11"/>
  <c r="DY13" i="11"/>
  <c r="DX13" i="11"/>
  <c r="DW13" i="11"/>
  <c r="DV13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Z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G13" i="11"/>
  <c r="CG15" i="11" s="1"/>
  <c r="CF13" i="11"/>
  <c r="CE13" i="11"/>
  <c r="CD13" i="11"/>
  <c r="CC13" i="11"/>
  <c r="CB13" i="11"/>
  <c r="CA13" i="11"/>
  <c r="BZ13" i="11"/>
  <c r="BY13" i="11"/>
  <c r="BX13" i="11"/>
  <c r="BW13" i="11"/>
  <c r="BV13" i="11"/>
  <c r="BU13" i="11"/>
  <c r="BU15" i="11" s="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I15" i="11" s="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W15" i="11" s="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K15" i="11" s="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Y15" i="11" s="1"/>
  <c r="X13" i="11"/>
  <c r="W13" i="11"/>
  <c r="V13" i="11"/>
  <c r="U13" i="11"/>
  <c r="T13" i="11"/>
  <c r="S13" i="11"/>
  <c r="R13" i="11"/>
  <c r="Q13" i="11"/>
  <c r="P13" i="11"/>
  <c r="O13" i="11"/>
  <c r="DQ10" i="11"/>
  <c r="DP10" i="11"/>
  <c r="DO10" i="11"/>
  <c r="DN10" i="11"/>
  <c r="DM10" i="11"/>
  <c r="DL10" i="11"/>
  <c r="DK10" i="11"/>
  <c r="DJ10" i="11"/>
  <c r="DI10" i="11"/>
  <c r="DH10" i="11"/>
  <c r="DG10" i="11"/>
  <c r="DF10" i="11"/>
  <c r="DE10" i="11"/>
  <c r="DD10" i="11"/>
  <c r="DC10" i="11"/>
  <c r="DB10" i="11"/>
  <c r="DA10" i="11"/>
  <c r="CZ10" i="11"/>
  <c r="CY10" i="11"/>
  <c r="CY11" i="11" s="1"/>
  <c r="CX10" i="11"/>
  <c r="CX11" i="11" s="1"/>
  <c r="CW10" i="11"/>
  <c r="CW11" i="11" s="1"/>
  <c r="CV10" i="11"/>
  <c r="CV11" i="11" s="1"/>
  <c r="CU10" i="11"/>
  <c r="CU11" i="11" s="1"/>
  <c r="CT10" i="11"/>
  <c r="CS10" i="11"/>
  <c r="CR10" i="11"/>
  <c r="CQ10" i="11"/>
  <c r="CP10" i="11"/>
  <c r="CO10" i="11"/>
  <c r="CN10" i="11"/>
  <c r="CM10" i="11"/>
  <c r="CL10" i="11"/>
  <c r="CK10" i="11"/>
  <c r="CJ10" i="11"/>
  <c r="CI10" i="11"/>
  <c r="CH10" i="11"/>
  <c r="CG10" i="11"/>
  <c r="CF10" i="11"/>
  <c r="CE10" i="11"/>
  <c r="CD10" i="11"/>
  <c r="CC10" i="11"/>
  <c r="CB10" i="1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DQ9" i="11"/>
  <c r="DP9" i="11"/>
  <c r="DO9" i="11"/>
  <c r="DN9" i="11"/>
  <c r="DM9" i="11"/>
  <c r="DL9" i="11"/>
  <c r="DL11" i="11" s="1"/>
  <c r="DK9" i="11"/>
  <c r="DJ9" i="11"/>
  <c r="DI9" i="11"/>
  <c r="DI11" i="11" s="1"/>
  <c r="DH9" i="11"/>
  <c r="DG9" i="11"/>
  <c r="DF9" i="11"/>
  <c r="DE9" i="11"/>
  <c r="DD9" i="11"/>
  <c r="DC9" i="11"/>
  <c r="DB9" i="11"/>
  <c r="DA9" i="11"/>
  <c r="CZ9" i="11"/>
  <c r="CZ11" i="11" s="1"/>
  <c r="CT9" i="11"/>
  <c r="CS9" i="11"/>
  <c r="CR9" i="11"/>
  <c r="CQ9" i="11"/>
  <c r="CP9" i="11"/>
  <c r="CO9" i="11"/>
  <c r="CN9" i="11"/>
  <c r="CM9" i="11"/>
  <c r="CL9" i="11"/>
  <c r="CK9" i="11"/>
  <c r="CK11" i="11" s="1"/>
  <c r="CJ9" i="11"/>
  <c r="CI9" i="11"/>
  <c r="CH9" i="11"/>
  <c r="CG9" i="11"/>
  <c r="CF9" i="11"/>
  <c r="CE9" i="11"/>
  <c r="CD9" i="11"/>
  <c r="CC9" i="11"/>
  <c r="CB9" i="11"/>
  <c r="CA9" i="11"/>
  <c r="BZ9" i="11"/>
  <c r="BY9" i="11"/>
  <c r="BY11" i="11" s="1"/>
  <c r="BX9" i="11"/>
  <c r="BW9" i="11"/>
  <c r="BV9" i="11"/>
  <c r="BU9" i="11"/>
  <c r="BT9" i="11"/>
  <c r="BS9" i="11"/>
  <c r="BR9" i="11"/>
  <c r="BQ9" i="11"/>
  <c r="BP9" i="11"/>
  <c r="BO9" i="11"/>
  <c r="BN9" i="11"/>
  <c r="BM9" i="11"/>
  <c r="BM11" i="11" s="1"/>
  <c r="BL9" i="11"/>
  <c r="BK9" i="11"/>
  <c r="BJ9" i="11"/>
  <c r="BI9" i="11"/>
  <c r="BH9" i="11"/>
  <c r="BG9" i="11"/>
  <c r="BF9" i="11"/>
  <c r="BE9" i="11"/>
  <c r="BD9" i="11"/>
  <c r="BC9" i="11"/>
  <c r="BB9" i="11"/>
  <c r="BA9" i="11"/>
  <c r="BA11" i="11" s="1"/>
  <c r="AZ9" i="11"/>
  <c r="AY9" i="11"/>
  <c r="AX9" i="11"/>
  <c r="AW9" i="11"/>
  <c r="AV9" i="11"/>
  <c r="AU9" i="11"/>
  <c r="AT9" i="11"/>
  <c r="AS9" i="11"/>
  <c r="AR9" i="11"/>
  <c r="AQ9" i="11"/>
  <c r="AP9" i="11"/>
  <c r="AO9" i="11"/>
  <c r="AO11" i="11" s="1"/>
  <c r="AN9" i="11"/>
  <c r="AM9" i="11"/>
  <c r="AL9" i="11"/>
  <c r="AK9" i="11"/>
  <c r="AJ9" i="11"/>
  <c r="AI9" i="11"/>
  <c r="AH9" i="11"/>
  <c r="AG9" i="11"/>
  <c r="AF9" i="11"/>
  <c r="AE9" i="11"/>
  <c r="AD9" i="11"/>
  <c r="AC9" i="11"/>
  <c r="AC11" i="11" s="1"/>
  <c r="AB9" i="11"/>
  <c r="AA9" i="11"/>
  <c r="Z9" i="11"/>
  <c r="Y9" i="11"/>
  <c r="X9" i="11"/>
  <c r="W9" i="11"/>
  <c r="V9" i="11"/>
  <c r="U9" i="11"/>
  <c r="T9" i="11"/>
  <c r="S9" i="11"/>
  <c r="R9" i="11"/>
  <c r="Q9" i="11"/>
  <c r="Q11" i="11" s="1"/>
  <c r="P9" i="11"/>
  <c r="O9" i="11"/>
  <c r="Z5" i="11"/>
  <c r="Y5" i="11"/>
  <c r="X5" i="11"/>
  <c r="W5" i="11"/>
  <c r="V5" i="11"/>
  <c r="U5" i="11"/>
  <c r="T5" i="11"/>
  <c r="S5" i="11"/>
  <c r="R5" i="11"/>
  <c r="Q5" i="11"/>
  <c r="P5" i="11"/>
  <c r="O5" i="11"/>
  <c r="EC4" i="11"/>
  <c r="EC6" i="11" s="1"/>
  <c r="EC7" i="11" s="1"/>
  <c r="EB4" i="11"/>
  <c r="EB6" i="11" s="1"/>
  <c r="EB7" i="11" s="1"/>
  <c r="EA4" i="11"/>
  <c r="EA6" i="11" s="1"/>
  <c r="EA7" i="11" s="1"/>
  <c r="DZ4" i="11"/>
  <c r="DZ6" i="11" s="1"/>
  <c r="DZ7" i="11" s="1"/>
  <c r="DY4" i="11"/>
  <c r="DY6" i="11" s="1"/>
  <c r="DY7" i="11" s="1"/>
  <c r="DX4" i="11"/>
  <c r="DX6" i="11" s="1"/>
  <c r="DX7" i="11" s="1"/>
  <c r="DW4" i="11"/>
  <c r="DW6" i="11" s="1"/>
  <c r="DW7" i="11" s="1"/>
  <c r="DV4" i="11"/>
  <c r="DV6" i="11" s="1"/>
  <c r="DV7" i="11" s="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J4" i="11"/>
  <c r="DJ6" i="11" s="1"/>
  <c r="DJ7" i="11" s="1"/>
  <c r="DF4" i="11"/>
  <c r="DF6" i="11" s="1"/>
  <c r="DF7" i="11" s="1"/>
  <c r="CT4" i="11"/>
  <c r="CT6" i="11" s="1"/>
  <c r="CT7" i="11" s="1"/>
  <c r="CS4" i="11"/>
  <c r="CS6" i="11" s="1"/>
  <c r="CS7" i="11" s="1"/>
  <c r="CR4" i="11"/>
  <c r="CR6" i="11" s="1"/>
  <c r="CR7" i="11" s="1"/>
  <c r="CQ4" i="11"/>
  <c r="CQ6" i="11" s="1"/>
  <c r="CQ7" i="11" s="1"/>
  <c r="CP4" i="11"/>
  <c r="CP6" i="11" s="1"/>
  <c r="CP7" i="11" s="1"/>
  <c r="CO4" i="11"/>
  <c r="CO6" i="11" s="1"/>
  <c r="CO7" i="11" s="1"/>
  <c r="CN4" i="11"/>
  <c r="CN6" i="11" s="1"/>
  <c r="CN7" i="11" s="1"/>
  <c r="CM4" i="11"/>
  <c r="CM6" i="11" s="1"/>
  <c r="CM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BP4" i="11"/>
  <c r="BP6" i="11" s="1"/>
  <c r="BP7" i="11" s="1"/>
  <c r="DI3" i="11"/>
  <c r="DI4" i="11" s="1"/>
  <c r="DI6" i="11" s="1"/>
  <c r="DI7" i="11" s="1"/>
  <c r="DH3" i="11"/>
  <c r="DE3" i="11"/>
  <c r="DE4" i="11" s="1"/>
  <c r="DE6" i="11" s="1"/>
  <c r="DE7" i="11" s="1"/>
  <c r="CX3" i="11"/>
  <c r="BO3" i="11"/>
  <c r="BO4" i="11" s="1"/>
  <c r="BO6" i="11" s="1"/>
  <c r="BO7" i="11" s="1"/>
  <c r="BN3" i="11"/>
  <c r="BM3" i="11"/>
  <c r="BL3" i="11"/>
  <c r="BK3" i="11"/>
  <c r="BJ3" i="11"/>
  <c r="BJ4" i="11" s="1"/>
  <c r="BJ6" i="11" s="1"/>
  <c r="BJ7" i="11" s="1"/>
  <c r="BI3" i="11"/>
  <c r="BH3" i="11"/>
  <c r="BG3" i="11"/>
  <c r="BF3" i="11"/>
  <c r="BE3" i="11"/>
  <c r="BD3" i="11"/>
  <c r="BC3" i="11"/>
  <c r="BB3" i="11"/>
  <c r="BA3" i="11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L4" i="11" s="1"/>
  <c r="AL6" i="11" s="1"/>
  <c r="AL7" i="11" s="1"/>
  <c r="AK3" i="11"/>
  <c r="AJ3" i="11"/>
  <c r="AI3" i="11"/>
  <c r="AH3" i="11"/>
  <c r="AG3" i="11"/>
  <c r="AF3" i="11"/>
  <c r="AE3" i="11"/>
  <c r="AD3" i="11"/>
  <c r="AC3" i="11"/>
  <c r="AB3" i="11"/>
  <c r="AA3" i="11"/>
  <c r="Z3" i="11"/>
  <c r="Z4" i="11" s="1"/>
  <c r="Z6" i="11" s="1"/>
  <c r="Z7" i="11" s="1"/>
  <c r="Y3" i="11"/>
  <c r="X3" i="11"/>
  <c r="W3" i="11"/>
  <c r="V3" i="11"/>
  <c r="U3" i="11"/>
  <c r="T3" i="11"/>
  <c r="S3" i="11"/>
  <c r="R3" i="11"/>
  <c r="Q3" i="11"/>
  <c r="P3" i="11"/>
  <c r="O3" i="11"/>
  <c r="M4" i="11" s="1"/>
  <c r="M6" i="11" s="1"/>
  <c r="M7" i="11" s="1"/>
  <c r="M17" i="11" s="1"/>
  <c r="E13" i="10"/>
  <c r="E9" i="10"/>
  <c r="E14" i="10"/>
  <c r="E10" i="10"/>
  <c r="CF11" i="11" l="1"/>
  <c r="AG4" i="11"/>
  <c r="AG6" i="11" s="1"/>
  <c r="AG7" i="11" s="1"/>
  <c r="U4" i="11"/>
  <c r="U6" i="11" s="1"/>
  <c r="U7" i="11" s="1"/>
  <c r="AS4" i="11"/>
  <c r="AS6" i="11" s="1"/>
  <c r="AS7" i="11" s="1"/>
  <c r="DC11" i="11"/>
  <c r="Y4" i="11"/>
  <c r="Y6" i="11" s="1"/>
  <c r="Y7" i="11" s="1"/>
  <c r="AK4" i="11"/>
  <c r="AK6" i="11" s="1"/>
  <c r="AK7" i="11" s="1"/>
  <c r="BI4" i="11"/>
  <c r="BI6" i="11" s="1"/>
  <c r="BI7" i="11" s="1"/>
  <c r="DB11" i="11"/>
  <c r="DN11" i="11"/>
  <c r="DD11" i="11"/>
  <c r="DP11" i="11"/>
  <c r="BE4" i="11"/>
  <c r="BE6" i="11" s="1"/>
  <c r="BE7" i="11" s="1"/>
  <c r="U11" i="11"/>
  <c r="AG11" i="11"/>
  <c r="AG17" i="11" s="1"/>
  <c r="AS11" i="11"/>
  <c r="BE11" i="11"/>
  <c r="BQ11" i="11"/>
  <c r="BQ17" i="11" s="1"/>
  <c r="CC11" i="11"/>
  <c r="CC17" i="11" s="1"/>
  <c r="CO11" i="11"/>
  <c r="CO17" i="11" s="1"/>
  <c r="AD4" i="11"/>
  <c r="AD6" i="11" s="1"/>
  <c r="AD7" i="11" s="1"/>
  <c r="V11" i="11"/>
  <c r="AH11" i="11"/>
  <c r="AT11" i="11"/>
  <c r="BF11" i="11"/>
  <c r="BR11" i="11"/>
  <c r="CD11" i="11"/>
  <c r="CP11" i="11"/>
  <c r="CJ11" i="11"/>
  <c r="W11" i="11"/>
  <c r="AI11" i="11"/>
  <c r="AU11" i="11"/>
  <c r="BG11" i="11"/>
  <c r="BS11" i="11"/>
  <c r="CE11" i="11"/>
  <c r="CQ11" i="11"/>
  <c r="DA11" i="11"/>
  <c r="AW4" i="11"/>
  <c r="AW6" i="11" s="1"/>
  <c r="AW7" i="11" s="1"/>
  <c r="AX4" i="11"/>
  <c r="AX6" i="11" s="1"/>
  <c r="AX7" i="11" s="1"/>
  <c r="DM11" i="11"/>
  <c r="T4" i="11"/>
  <c r="T6" i="11" s="1"/>
  <c r="T7" i="11" s="1"/>
  <c r="CX4" i="11"/>
  <c r="CX6" i="11" s="1"/>
  <c r="CX7" i="11" s="1"/>
  <c r="DA15" i="11"/>
  <c r="DM15" i="11"/>
  <c r="DY15" i="11"/>
  <c r="X11" i="11"/>
  <c r="AJ11" i="11"/>
  <c r="AV11" i="11"/>
  <c r="BH11" i="11"/>
  <c r="BT11" i="11"/>
  <c r="CR11" i="11"/>
  <c r="CS15" i="11"/>
  <c r="EC15" i="11"/>
  <c r="Q4" i="11"/>
  <c r="Q6" i="11" s="1"/>
  <c r="Q7" i="11" s="1"/>
  <c r="AC4" i="11"/>
  <c r="AC6" i="11" s="1"/>
  <c r="AC7" i="11" s="1"/>
  <c r="P11" i="11"/>
  <c r="O4" i="11"/>
  <c r="O6" i="11" s="1"/>
  <c r="O7" i="11" s="1"/>
  <c r="N4" i="11"/>
  <c r="N6" i="11" s="1"/>
  <c r="N7" i="11" s="1"/>
  <c r="AA4" i="11"/>
  <c r="AA6" i="11" s="1"/>
  <c r="AA7" i="11" s="1"/>
  <c r="AM4" i="11"/>
  <c r="AM6" i="11" s="1"/>
  <c r="AM7" i="11" s="1"/>
  <c r="AY4" i="11"/>
  <c r="AY6" i="11" s="1"/>
  <c r="AY7" i="11" s="1"/>
  <c r="BK4" i="11"/>
  <c r="BK6" i="11" s="1"/>
  <c r="BK7" i="11" s="1"/>
  <c r="DH11" i="11"/>
  <c r="R4" i="11"/>
  <c r="R6" i="11" s="1"/>
  <c r="R7" i="11" s="1"/>
  <c r="AP4" i="11"/>
  <c r="AP6" i="11" s="1"/>
  <c r="AP7" i="11" s="1"/>
  <c r="BB4" i="11"/>
  <c r="BB6" i="11" s="1"/>
  <c r="BB7" i="11" s="1"/>
  <c r="BN4" i="11"/>
  <c r="BN6" i="11" s="1"/>
  <c r="BN7" i="11" s="1"/>
  <c r="DK11" i="11"/>
  <c r="DE15" i="11"/>
  <c r="DQ15" i="11"/>
  <c r="O11" i="11"/>
  <c r="AA11" i="11"/>
  <c r="AM11" i="11"/>
  <c r="AY11" i="11"/>
  <c r="BK11" i="11"/>
  <c r="BW11" i="11"/>
  <c r="CI11" i="11"/>
  <c r="AB11" i="11"/>
  <c r="AN11" i="11"/>
  <c r="AZ11" i="11"/>
  <c r="BL11" i="11"/>
  <c r="BX11" i="11"/>
  <c r="O15" i="11"/>
  <c r="AA15" i="11"/>
  <c r="AA17" i="11" s="1"/>
  <c r="AM15" i="11"/>
  <c r="AY15" i="11"/>
  <c r="BK15" i="11"/>
  <c r="BW15" i="11"/>
  <c r="CI15" i="11"/>
  <c r="CI17" i="11" s="1"/>
  <c r="DG15" i="11"/>
  <c r="DS15" i="11"/>
  <c r="DS17" i="11" s="1"/>
  <c r="AS15" i="11"/>
  <c r="P15" i="11"/>
  <c r="AB15" i="11"/>
  <c r="AN15" i="11"/>
  <c r="AZ15" i="11"/>
  <c r="BL15" i="11"/>
  <c r="BX15" i="11"/>
  <c r="CJ15" i="11"/>
  <c r="DH15" i="11"/>
  <c r="DT15" i="11"/>
  <c r="DT17" i="11" s="1"/>
  <c r="DG11" i="11"/>
  <c r="R11" i="11"/>
  <c r="AD11" i="11"/>
  <c r="AP11" i="11"/>
  <c r="BB11" i="11"/>
  <c r="BN11" i="11"/>
  <c r="BZ11" i="11"/>
  <c r="CL11" i="11"/>
  <c r="DO11" i="11"/>
  <c r="Q15" i="11"/>
  <c r="AC15" i="11"/>
  <c r="AO15" i="11"/>
  <c r="BA15" i="11"/>
  <c r="S11" i="11"/>
  <c r="AQ11" i="11"/>
  <c r="BC11" i="11"/>
  <c r="BO11" i="11"/>
  <c r="CA11" i="11"/>
  <c r="CM11" i="11"/>
  <c r="DJ11" i="11"/>
  <c r="AE11" i="11"/>
  <c r="T11" i="11"/>
  <c r="AF11" i="11"/>
  <c r="AR11" i="11"/>
  <c r="BD11" i="11"/>
  <c r="BP11" i="11"/>
  <c r="CB11" i="11"/>
  <c r="CN11" i="11"/>
  <c r="N17" i="11"/>
  <c r="DE11" i="11"/>
  <c r="DQ11" i="11"/>
  <c r="DQ17" i="11" s="1"/>
  <c r="DF11" i="11"/>
  <c r="BM15" i="11"/>
  <c r="BY15" i="11"/>
  <c r="BY17" i="11" s="1"/>
  <c r="CK15" i="11"/>
  <c r="CK17" i="11" s="1"/>
  <c r="DI15" i="11"/>
  <c r="DI17" i="11" s="1"/>
  <c r="DU15" i="11"/>
  <c r="DU17" i="11" s="1"/>
  <c r="P4" i="11"/>
  <c r="P6" i="11" s="1"/>
  <c r="P7" i="11" s="1"/>
  <c r="AB4" i="11"/>
  <c r="AB6" i="11" s="1"/>
  <c r="AB7" i="11" s="1"/>
  <c r="AN4" i="11"/>
  <c r="AN6" i="11" s="1"/>
  <c r="AN7" i="11" s="1"/>
  <c r="AZ4" i="11"/>
  <c r="AZ6" i="11" s="1"/>
  <c r="AZ7" i="11" s="1"/>
  <c r="BL4" i="11"/>
  <c r="BL6" i="11" s="1"/>
  <c r="BL7" i="11" s="1"/>
  <c r="R15" i="11"/>
  <c r="AD15" i="11"/>
  <c r="AP15" i="11"/>
  <c r="BB15" i="11"/>
  <c r="BN15" i="11"/>
  <c r="BZ15" i="11"/>
  <c r="CL15" i="11"/>
  <c r="DJ15" i="11"/>
  <c r="DV15" i="11"/>
  <c r="DV17" i="11" s="1"/>
  <c r="AO4" i="11"/>
  <c r="AO6" i="11" s="1"/>
  <c r="AO7" i="11" s="1"/>
  <c r="BA4" i="11"/>
  <c r="BA6" i="11" s="1"/>
  <c r="BA7" i="11" s="1"/>
  <c r="BM4" i="11"/>
  <c r="BM6" i="11" s="1"/>
  <c r="BM7" i="11" s="1"/>
  <c r="S15" i="11"/>
  <c r="AE15" i="11"/>
  <c r="AQ15" i="11"/>
  <c r="BC15" i="11"/>
  <c r="BO15" i="11"/>
  <c r="CA15" i="11"/>
  <c r="CM15" i="11"/>
  <c r="DK15" i="11"/>
  <c r="DK17" i="11" s="1"/>
  <c r="DW15" i="11"/>
  <c r="DW17" i="11" s="1"/>
  <c r="T15" i="11"/>
  <c r="AF15" i="11"/>
  <c r="AR15" i="11"/>
  <c r="BD15" i="11"/>
  <c r="BP15" i="11"/>
  <c r="CB15" i="11"/>
  <c r="CN15" i="11"/>
  <c r="CZ15" i="11"/>
  <c r="DL15" i="11"/>
  <c r="DL17" i="11" s="1"/>
  <c r="DX15" i="11"/>
  <c r="DX17" i="11" s="1"/>
  <c r="S4" i="11"/>
  <c r="S6" i="11" s="1"/>
  <c r="S7" i="11" s="1"/>
  <c r="AE4" i="11"/>
  <c r="AE6" i="11" s="1"/>
  <c r="AE7" i="11" s="1"/>
  <c r="AQ4" i="11"/>
  <c r="AQ6" i="11" s="1"/>
  <c r="AQ7" i="11" s="1"/>
  <c r="BC4" i="11"/>
  <c r="BC6" i="11" s="1"/>
  <c r="BC7" i="11" s="1"/>
  <c r="Y11" i="11"/>
  <c r="Y17" i="11" s="1"/>
  <c r="AK11" i="11"/>
  <c r="AK17" i="11" s="1"/>
  <c r="AW11" i="11"/>
  <c r="BI11" i="11"/>
  <c r="BI17" i="11" s="1"/>
  <c r="BU11" i="11"/>
  <c r="BU17" i="11" s="1"/>
  <c r="CG11" i="11"/>
  <c r="CG17" i="11" s="1"/>
  <c r="CS11" i="11"/>
  <c r="AF4" i="11"/>
  <c r="AF6" i="11" s="1"/>
  <c r="AF7" i="11" s="1"/>
  <c r="AR4" i="11"/>
  <c r="AR6" i="11" s="1"/>
  <c r="AR7" i="11" s="1"/>
  <c r="BD4" i="11"/>
  <c r="BD6" i="11" s="1"/>
  <c r="BD7" i="11" s="1"/>
  <c r="CV4" i="11"/>
  <c r="CV6" i="11" s="1"/>
  <c r="CV7" i="11" s="1"/>
  <c r="CV17" i="11" s="1"/>
  <c r="Z11" i="11"/>
  <c r="AL11" i="11"/>
  <c r="AX11" i="11"/>
  <c r="BJ11" i="11"/>
  <c r="BV11" i="11"/>
  <c r="CH11" i="11"/>
  <c r="CH17" i="11" s="1"/>
  <c r="CT11" i="11"/>
  <c r="V15" i="11"/>
  <c r="AH15" i="11"/>
  <c r="AT15" i="11"/>
  <c r="BF15" i="11"/>
  <c r="BR15" i="11"/>
  <c r="CD15" i="11"/>
  <c r="CP15" i="11"/>
  <c r="DB15" i="11"/>
  <c r="DN15" i="11"/>
  <c r="DZ15" i="11"/>
  <c r="DZ17" i="11" s="1"/>
  <c r="W15" i="11"/>
  <c r="AI15" i="11"/>
  <c r="AU15" i="11"/>
  <c r="BG15" i="11"/>
  <c r="BS15" i="11"/>
  <c r="BS17" i="11" s="1"/>
  <c r="CE15" i="11"/>
  <c r="CQ15" i="11"/>
  <c r="DC15" i="11"/>
  <c r="DO15" i="11"/>
  <c r="EA15" i="11"/>
  <c r="EA17" i="11" s="1"/>
  <c r="V4" i="11"/>
  <c r="V6" i="11" s="1"/>
  <c r="V7" i="11" s="1"/>
  <c r="AH4" i="11"/>
  <c r="AH6" i="11" s="1"/>
  <c r="AH7" i="11" s="1"/>
  <c r="AT4" i="11"/>
  <c r="AT6" i="11" s="1"/>
  <c r="AT7" i="11" s="1"/>
  <c r="BF4" i="11"/>
  <c r="BF6" i="11" s="1"/>
  <c r="BF7" i="11" s="1"/>
  <c r="DH4" i="11"/>
  <c r="DH6" i="11" s="1"/>
  <c r="DH7" i="11" s="1"/>
  <c r="X15" i="11"/>
  <c r="AJ15" i="11"/>
  <c r="AV15" i="11"/>
  <c r="BH15" i="11"/>
  <c r="BT15" i="11"/>
  <c r="CF15" i="11"/>
  <c r="CF17" i="11" s="1"/>
  <c r="CR15" i="11"/>
  <c r="DD15" i="11"/>
  <c r="DP15" i="11"/>
  <c r="EB15" i="11"/>
  <c r="EB17" i="11" s="1"/>
  <c r="W4" i="11"/>
  <c r="W6" i="11" s="1"/>
  <c r="W7" i="11" s="1"/>
  <c r="AI4" i="11"/>
  <c r="AI6" i="11" s="1"/>
  <c r="AI7" i="11" s="1"/>
  <c r="AU4" i="11"/>
  <c r="AU6" i="11" s="1"/>
  <c r="AU7" i="11" s="1"/>
  <c r="BG4" i="11"/>
  <c r="BG6" i="11" s="1"/>
  <c r="BG7" i="11" s="1"/>
  <c r="X4" i="11"/>
  <c r="X6" i="11" s="1"/>
  <c r="X7" i="11" s="1"/>
  <c r="AJ4" i="11"/>
  <c r="AJ6" i="11" s="1"/>
  <c r="AJ7" i="11" s="1"/>
  <c r="AV4" i="11"/>
  <c r="AV6" i="11" s="1"/>
  <c r="AV7" i="11" s="1"/>
  <c r="BH4" i="11"/>
  <c r="BH6" i="11" s="1"/>
  <c r="BH7" i="11" s="1"/>
  <c r="Z15" i="11"/>
  <c r="AL15" i="11"/>
  <c r="AX15" i="11"/>
  <c r="BJ15" i="11"/>
  <c r="BJ17" i="11" s="1"/>
  <c r="BV15" i="11"/>
  <c r="CT15" i="11"/>
  <c r="DF15" i="11"/>
  <c r="DR15" i="11"/>
  <c r="DR17" i="11" s="1"/>
  <c r="EC17" i="11"/>
  <c r="CX17" i="11"/>
  <c r="DY17" i="11"/>
  <c r="CW4" i="11"/>
  <c r="CW6" i="11" s="1"/>
  <c r="CW7" i="11" s="1"/>
  <c r="CW17" i="11" s="1"/>
  <c r="CY4" i="11"/>
  <c r="CY6" i="11" s="1"/>
  <c r="CY7" i="11" s="1"/>
  <c r="CY17" i="11" s="1"/>
  <c r="CZ4" i="11"/>
  <c r="CZ6" i="11" s="1"/>
  <c r="CZ7" i="11" s="1"/>
  <c r="DA4" i="11"/>
  <c r="DA6" i="11" s="1"/>
  <c r="DA7" i="11" s="1"/>
  <c r="DB4" i="11"/>
  <c r="DB6" i="11" s="1"/>
  <c r="DB7" i="11" s="1"/>
  <c r="DC4" i="11"/>
  <c r="DC6" i="11" s="1"/>
  <c r="DC7" i="11" s="1"/>
  <c r="DD4" i="11"/>
  <c r="DD6" i="11" s="1"/>
  <c r="DD7" i="11" s="1"/>
  <c r="CU4" i="11"/>
  <c r="CU6" i="11" s="1"/>
  <c r="CU7" i="11" s="1"/>
  <c r="CU17" i="11" s="1"/>
  <c r="DG4" i="11"/>
  <c r="DG6" i="11" s="1"/>
  <c r="DG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CQ17" i="11" l="1"/>
  <c r="CT17" i="11"/>
  <c r="AI17" i="11"/>
  <c r="CE17" i="11"/>
  <c r="DM17" i="11"/>
  <c r="DP17" i="11"/>
  <c r="DN17" i="11"/>
  <c r="BX17" i="11"/>
  <c r="U17" i="11"/>
  <c r="AD17" i="11"/>
  <c r="BE17" i="11"/>
  <c r="CD17" i="11"/>
  <c r="CN17" i="11"/>
  <c r="DE17" i="11"/>
  <c r="P17" i="11"/>
  <c r="BT17" i="11"/>
  <c r="CJ17" i="11"/>
  <c r="AW17" i="11"/>
  <c r="BR17" i="11"/>
  <c r="CR17" i="11"/>
  <c r="CP17" i="11"/>
  <c r="CS17" i="11"/>
  <c r="BV17" i="11"/>
  <c r="AC17" i="11"/>
  <c r="Q17" i="11"/>
  <c r="BK17" i="11"/>
  <c r="BP17" i="11"/>
  <c r="S17" i="11"/>
  <c r="AE17" i="11"/>
  <c r="AY17" i="11"/>
  <c r="R17" i="11"/>
  <c r="CM17" i="11"/>
  <c r="CZ17" i="11"/>
  <c r="DC17" i="11"/>
  <c r="BC17" i="11"/>
  <c r="BM17" i="11"/>
  <c r="AZ17" i="11"/>
  <c r="BO17" i="11"/>
  <c r="DA17" i="11"/>
  <c r="BF17" i="11"/>
  <c r="AT17" i="11"/>
  <c r="AS17" i="11"/>
  <c r="AH17" i="11"/>
  <c r="DO17" i="11"/>
  <c r="Z17" i="11"/>
  <c r="BL17" i="11"/>
  <c r="AM17" i="11"/>
  <c r="DB17" i="11"/>
  <c r="DJ17" i="11"/>
  <c r="O17" i="11"/>
  <c r="CA17" i="11"/>
  <c r="DH17" i="11"/>
  <c r="DF17" i="11"/>
  <c r="DD17" i="11"/>
  <c r="CB17" i="11"/>
  <c r="AQ17" i="11"/>
  <c r="AP17" i="11"/>
  <c r="AV17" i="11"/>
  <c r="BD17" i="11"/>
  <c r="T17" i="11"/>
  <c r="AO17" i="11"/>
  <c r="AN17" i="11"/>
  <c r="AB17" i="11"/>
  <c r="BA17" i="11"/>
  <c r="BG17" i="11"/>
  <c r="V17" i="11"/>
  <c r="CL17" i="11"/>
  <c r="BZ17" i="11"/>
  <c r="BH17" i="11"/>
  <c r="AF17" i="11"/>
  <c r="BW17" i="11"/>
  <c r="AJ17" i="11"/>
  <c r="X17" i="11"/>
  <c r="AU17" i="11"/>
  <c r="AX17" i="11"/>
  <c r="W17" i="11"/>
  <c r="BN17" i="11"/>
  <c r="AR17" i="11"/>
  <c r="DG17" i="11"/>
  <c r="AL17" i="11"/>
  <c r="BB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<sst xmlns="http://schemas.openxmlformats.org/spreadsheetml/2006/main" count="1156" uniqueCount="62">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</sst>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44" fontId="1" fillId="0" borderId="32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2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EH1000"/>
  <sheetViews>
    <sheetView tabSelected="1" topLeftCell="B1" workbookViewId="0">
      <selection sqref="A1:A1048576"/>
    </sheetView>
  </sheetViews>
  <sheetFormatPr defaultColWidth="12.625" defaultRowHeight="15" customHeight="1" x14ac:dyDescent="0.2"/>
  <cols>
    <col min="1" max="1" width="43.75" hidden="1" customWidth="1"/>
    <col min="2" max="3" width="8" customWidth="1"/>
    <col min="4" max="4" width="45.625" customWidth="1"/>
    <col min="5" max="7" width="14.75" customWidth="1"/>
    <col min="8" max="16" width="14.75" hidden="1" customWidth="1"/>
    <col min="17" max="19" width="14.75" customWidth="1"/>
    <col min="20" max="63" width="14.25" hidden="1" customWidth="1"/>
    <col min="64" max="66" width="17.75" hidden="1" customWidth="1"/>
    <col min="67" max="68" width="15.25" hidden="1" customWidth="1"/>
    <col min="69" max="93" width="13.25" hidden="1" customWidth="1"/>
    <col min="94" max="94" width="13.625" hidden="1" customWidth="1"/>
    <col min="95" max="95" width="13.25" hidden="1" customWidth="1"/>
    <col min="96" max="96" width="13.375" hidden="1" customWidth="1"/>
    <col min="97" max="103" width="13.25" hidden="1" customWidth="1"/>
    <col min="104" max="105" width="12.875" hidden="1" customWidth="1"/>
    <col min="106" max="106" width="14.25" hidden="1" customWidth="1"/>
    <col min="107" max="108" width="12.875" hidden="1" customWidth="1"/>
    <col min="109" max="110" width="15.5" hidden="1" customWidth="1"/>
    <col min="111" max="116" width="13.75" hidden="1" customWidth="1"/>
    <col min="117" max="117" width="13" hidden="1" customWidth="1"/>
    <col min="118" max="119" width="13.25" hidden="1" customWidth="1"/>
    <col min="120" max="120" width="12" hidden="1" customWidth="1"/>
    <col min="121" max="121" width="9.5" hidden="1" customWidth="1"/>
    <col min="122" max="123" width="12.875" hidden="1" customWidth="1"/>
    <col min="124" max="124" width="10.5" hidden="1" customWidth="1"/>
    <col min="125" max="129" width="11.875" hidden="1" customWidth="1"/>
    <col min="130" max="130" width="12.5" hidden="1" customWidth="1"/>
    <col min="131" max="133" width="9.75" hidden="1" customWidth="1"/>
    <col min="134" max="135" width="7.75" customWidth="1"/>
    <col min="136" max="138" width="8" customWidth="1"/>
  </cols>
  <sheetData>
    <row r="1" spans="1:138" ht="15.75" thickBot="1" x14ac:dyDescent="0.3">
      <c r="A1" s="1" t="s">
        <v>0</v>
      </c>
      <c r="B1" s="1" t="s">
        <v>1</v>
      </c>
      <c r="E1" s="2"/>
      <c r="F1" s="2">
        <v>2025</v>
      </c>
      <c r="O1" s="2"/>
      <c r="Q1" s="110"/>
      <c r="R1" s="73">
        <v>2024</v>
      </c>
      <c r="AA1" s="73"/>
      <c r="AG1" s="17"/>
      <c r="AM1" s="79"/>
      <c r="AN1" s="73"/>
      <c r="AP1" s="17"/>
      <c r="AS1" s="17"/>
      <c r="AY1" s="72"/>
      <c r="BD1" s="67"/>
      <c r="BF1" s="17"/>
      <c r="BG1" s="69"/>
      <c r="BK1" s="67">
        <v>2020</v>
      </c>
      <c r="BL1" s="13">
        <v>2020</v>
      </c>
      <c r="BP1" s="3"/>
      <c r="BQ1" s="1"/>
      <c r="BT1" s="85"/>
      <c r="BV1" s="30"/>
      <c r="BW1" s="98">
        <v>2019</v>
      </c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9">
        <v>2018</v>
      </c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100"/>
      <c r="CU1" s="101">
        <v>2017</v>
      </c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102"/>
      <c r="DG1" s="103"/>
      <c r="DH1" s="104"/>
      <c r="DI1" s="31"/>
      <c r="DJ1" s="31"/>
      <c r="DK1" s="31"/>
      <c r="DL1" s="31"/>
      <c r="DM1" s="31"/>
      <c r="DN1" s="86"/>
      <c r="DO1" s="87"/>
      <c r="DP1" s="87"/>
      <c r="DQ1" s="87"/>
      <c r="DR1" s="103">
        <v>2015</v>
      </c>
      <c r="DS1" s="104"/>
      <c r="DT1" s="105"/>
      <c r="DU1" s="86"/>
      <c r="DV1" s="32"/>
      <c r="DW1" s="87"/>
      <c r="DX1" s="87"/>
      <c r="DY1" s="86"/>
      <c r="DZ1" s="86"/>
      <c r="EA1" s="86"/>
      <c r="EB1" s="86"/>
      <c r="EC1" s="87"/>
    </row>
    <row r="2" spans="1:138" x14ac:dyDescent="0.25">
      <c r="E2" s="4" t="s">
        <v>12</v>
      </c>
      <c r="F2" s="4" t="s">
        <v>13</v>
      </c>
      <c r="G2" s="4" t="s">
        <v>2</v>
      </c>
      <c r="H2" s="4" t="s">
        <v>3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  <c r="Q2" s="88" t="s">
        <v>12</v>
      </c>
      <c r="R2" s="81" t="s">
        <v>13</v>
      </c>
      <c r="S2" s="81" t="s">
        <v>2</v>
      </c>
      <c r="T2" s="81" t="s">
        <v>3</v>
      </c>
      <c r="U2" s="81" t="s">
        <v>4</v>
      </c>
      <c r="V2" s="81" t="s">
        <v>5</v>
      </c>
      <c r="W2" s="81" t="s">
        <v>6</v>
      </c>
      <c r="X2" s="81" t="s">
        <v>7</v>
      </c>
      <c r="Y2" s="81" t="s">
        <v>8</v>
      </c>
      <c r="Z2" s="81" t="s">
        <v>9</v>
      </c>
      <c r="AA2" s="81" t="s">
        <v>10</v>
      </c>
      <c r="AB2" s="81" t="s">
        <v>11</v>
      </c>
      <c r="AC2" s="81" t="s">
        <v>12</v>
      </c>
      <c r="AD2" s="81" t="s">
        <v>13</v>
      </c>
      <c r="AE2" s="81" t="s">
        <v>2</v>
      </c>
      <c r="AF2" s="4" t="s">
        <v>3</v>
      </c>
      <c r="AG2" s="81" t="s">
        <v>4</v>
      </c>
      <c r="AH2" s="81" t="s">
        <v>5</v>
      </c>
      <c r="AI2" s="81" t="s">
        <v>6</v>
      </c>
      <c r="AJ2" s="4" t="s">
        <v>7</v>
      </c>
      <c r="AK2" s="4" t="s">
        <v>8</v>
      </c>
      <c r="AL2" s="4" t="s">
        <v>9</v>
      </c>
      <c r="AM2" s="4" t="s">
        <v>10</v>
      </c>
      <c r="AN2" s="4" t="s">
        <v>11</v>
      </c>
      <c r="AO2" s="4" t="s">
        <v>12</v>
      </c>
      <c r="AP2" s="4" t="s">
        <v>13</v>
      </c>
      <c r="AQ2" s="4" t="s">
        <v>2</v>
      </c>
      <c r="AR2" s="4" t="s">
        <v>14</v>
      </c>
      <c r="AS2" s="4" t="s">
        <v>15</v>
      </c>
      <c r="AT2" s="4" t="s">
        <v>5</v>
      </c>
      <c r="AU2" s="4" t="s">
        <v>6</v>
      </c>
      <c r="AV2" s="4" t="s">
        <v>7</v>
      </c>
      <c r="AW2" s="4" t="s">
        <v>8</v>
      </c>
      <c r="AX2" s="4" t="s">
        <v>9</v>
      </c>
      <c r="AY2" s="4" t="s">
        <v>10</v>
      </c>
      <c r="AZ2" s="4" t="s">
        <v>11</v>
      </c>
      <c r="BA2" s="4" t="s">
        <v>12</v>
      </c>
      <c r="BB2" s="4" t="s">
        <v>13</v>
      </c>
      <c r="BC2" s="4" t="s">
        <v>2</v>
      </c>
      <c r="BD2" s="5" t="s">
        <v>14</v>
      </c>
      <c r="BE2" s="5" t="s">
        <v>15</v>
      </c>
      <c r="BF2" s="5" t="s">
        <v>5</v>
      </c>
      <c r="BG2" s="68" t="s">
        <v>16</v>
      </c>
      <c r="BH2" s="5" t="s">
        <v>17</v>
      </c>
      <c r="BI2" s="5" t="s">
        <v>18</v>
      </c>
      <c r="BJ2" s="5" t="s">
        <v>19</v>
      </c>
      <c r="BK2" s="5" t="s">
        <v>20</v>
      </c>
      <c r="BL2" s="5" t="s">
        <v>21</v>
      </c>
      <c r="BM2" s="5" t="s">
        <v>22</v>
      </c>
      <c r="BN2" s="4" t="s">
        <v>23</v>
      </c>
      <c r="BO2" s="4" t="s">
        <v>24</v>
      </c>
      <c r="BP2" s="5" t="s">
        <v>14</v>
      </c>
      <c r="BQ2" s="5" t="s">
        <v>15</v>
      </c>
      <c r="BR2" s="5" t="s">
        <v>5</v>
      </c>
      <c r="BS2" s="34" t="s">
        <v>16</v>
      </c>
      <c r="BT2" s="5" t="s">
        <v>17</v>
      </c>
      <c r="BU2" s="5" t="s">
        <v>18</v>
      </c>
      <c r="BV2" s="5" t="s">
        <v>19</v>
      </c>
      <c r="BW2" s="5" t="s">
        <v>20</v>
      </c>
      <c r="BX2" s="5" t="s">
        <v>21</v>
      </c>
      <c r="BY2" s="5" t="s">
        <v>22</v>
      </c>
      <c r="BZ2" s="5" t="s">
        <v>23</v>
      </c>
      <c r="CA2" s="5" t="s">
        <v>24</v>
      </c>
      <c r="CB2" s="5" t="s">
        <v>14</v>
      </c>
      <c r="CC2" s="5" t="s">
        <v>15</v>
      </c>
      <c r="CD2" s="5" t="s">
        <v>5</v>
      </c>
      <c r="CE2" s="5" t="s">
        <v>16</v>
      </c>
      <c r="CF2" s="5" t="s">
        <v>17</v>
      </c>
      <c r="CG2" s="5" t="s">
        <v>18</v>
      </c>
      <c r="CH2" s="5" t="s">
        <v>19</v>
      </c>
      <c r="CI2" s="5" t="s">
        <v>20</v>
      </c>
      <c r="CJ2" s="5" t="s">
        <v>21</v>
      </c>
      <c r="CK2" s="5" t="s">
        <v>22</v>
      </c>
      <c r="CL2" s="5" t="s">
        <v>23</v>
      </c>
      <c r="CM2" s="5" t="s">
        <v>24</v>
      </c>
      <c r="CN2" s="5" t="s">
        <v>14</v>
      </c>
      <c r="CO2" s="5" t="s">
        <v>15</v>
      </c>
      <c r="CP2" s="5" t="s">
        <v>5</v>
      </c>
      <c r="CQ2" s="5" t="s">
        <v>16</v>
      </c>
      <c r="CR2" s="5" t="s">
        <v>17</v>
      </c>
      <c r="CS2" s="5" t="s">
        <v>18</v>
      </c>
      <c r="CT2" s="5" t="s">
        <v>19</v>
      </c>
      <c r="CU2" s="35" t="s">
        <v>20</v>
      </c>
      <c r="CV2" s="35" t="s">
        <v>21</v>
      </c>
      <c r="CW2" s="35" t="s">
        <v>22</v>
      </c>
      <c r="CX2" s="35" t="s">
        <v>23</v>
      </c>
      <c r="CY2" s="35" t="s">
        <v>24</v>
      </c>
      <c r="CZ2" s="35" t="s">
        <v>14</v>
      </c>
      <c r="DA2" s="35" t="s">
        <v>15</v>
      </c>
      <c r="DB2" s="35" t="s">
        <v>5</v>
      </c>
      <c r="DC2" s="35" t="s">
        <v>16</v>
      </c>
      <c r="DD2" s="35" t="s">
        <v>17</v>
      </c>
      <c r="DE2" s="35" t="s">
        <v>18</v>
      </c>
      <c r="DF2" s="35" t="s">
        <v>19</v>
      </c>
      <c r="DG2" s="35" t="s">
        <v>21</v>
      </c>
      <c r="DH2" s="35" t="s">
        <v>22</v>
      </c>
      <c r="DI2" s="35" t="s">
        <v>23</v>
      </c>
      <c r="DJ2" s="35" t="s">
        <v>24</v>
      </c>
      <c r="DK2" s="35" t="s">
        <v>14</v>
      </c>
      <c r="DL2" s="35" t="s">
        <v>15</v>
      </c>
      <c r="DM2" s="35" t="s">
        <v>5</v>
      </c>
      <c r="DN2" s="35" t="s">
        <v>16</v>
      </c>
      <c r="DO2" s="35" t="s">
        <v>17</v>
      </c>
      <c r="DP2" s="35" t="s">
        <v>18</v>
      </c>
      <c r="DQ2" s="35" t="s">
        <v>19</v>
      </c>
      <c r="DR2" s="35" t="s">
        <v>20</v>
      </c>
      <c r="DS2" s="35" t="s">
        <v>21</v>
      </c>
      <c r="DT2" s="35" t="s">
        <v>22</v>
      </c>
      <c r="DU2" s="35" t="s">
        <v>23</v>
      </c>
      <c r="DV2" s="35" t="s">
        <v>24</v>
      </c>
      <c r="DW2" s="35" t="s">
        <v>14</v>
      </c>
      <c r="DX2" s="35" t="s">
        <v>15</v>
      </c>
      <c r="DY2" s="35" t="s">
        <v>5</v>
      </c>
      <c r="DZ2" s="35" t="s">
        <v>16</v>
      </c>
      <c r="EA2" s="35" t="s">
        <v>17</v>
      </c>
      <c r="EB2" s="35" t="s">
        <v>18</v>
      </c>
      <c r="EC2" s="35" t="s">
        <v>19</v>
      </c>
    </row>
    <row r="3" spans="1:138" x14ac:dyDescent="0.25">
      <c r="A3" s="75" t="s">
        <v>25</v>
      </c>
      <c r="D3" s="1" t="s">
        <v>26</v>
      </c>
      <c r="E3" s="1">
        <f>257+18</f>
        <v>275</v>
      </c>
      <c r="F3" s="1">
        <f>259+18</f>
        <v>277</v>
      </c>
      <c r="G3" s="1">
        <f>256+18</f>
        <v>274</v>
      </c>
      <c r="H3" s="1">
        <f>259+18</f>
        <v>277</v>
      </c>
      <c r="I3" s="1">
        <f>260+18</f>
        <v>278</v>
      </c>
      <c r="J3" s="1">
        <f>262+17</f>
        <v>279</v>
      </c>
      <c r="K3" s="1">
        <f>259+17</f>
        <v>276</v>
      </c>
      <c r="L3" s="1">
        <f>254+17</f>
        <v>271</v>
      </c>
      <c r="M3" s="1">
        <f>252+17</f>
        <v>269</v>
      </c>
      <c r="N3" s="1">
        <f>256+17</f>
        <v>273</v>
      </c>
      <c r="O3" s="1">
        <f>268+17</f>
        <v>285</v>
      </c>
      <c r="P3" s="1">
        <f>269+17</f>
        <v>286</v>
      </c>
      <c r="Q3" s="89">
        <f>274+17</f>
        <v>291</v>
      </c>
      <c r="R3" s="15">
        <f>276+17</f>
        <v>293</v>
      </c>
      <c r="S3" s="15">
        <f>275+17</f>
        <v>292</v>
      </c>
      <c r="T3" s="15">
        <f>277+17</f>
        <v>294</v>
      </c>
      <c r="U3" s="15">
        <f>283+17</f>
        <v>300</v>
      </c>
      <c r="V3" s="15">
        <f>280+16</f>
        <v>296</v>
      </c>
      <c r="W3" s="15">
        <f>284+16</f>
        <v>300</v>
      </c>
      <c r="X3" s="15">
        <f>289+16</f>
        <v>305</v>
      </c>
      <c r="Y3" s="15">
        <f>292+16</f>
        <v>308</v>
      </c>
      <c r="Z3" s="15">
        <f>294+16</f>
        <v>310</v>
      </c>
      <c r="AA3" s="15">
        <f>302+16</f>
        <v>318</v>
      </c>
      <c r="AB3" s="15">
        <f>302+17</f>
        <v>319</v>
      </c>
      <c r="AC3" s="15">
        <f>303+17</f>
        <v>320</v>
      </c>
      <c r="AD3" s="15">
        <f>307+17</f>
        <v>324</v>
      </c>
      <c r="AE3" s="15">
        <f>309+17</f>
        <v>326</v>
      </c>
      <c r="AF3" s="15">
        <f>307+17</f>
        <v>324</v>
      </c>
      <c r="AG3" s="15">
        <f>310+17</f>
        <v>327</v>
      </c>
      <c r="AH3" s="15">
        <f>317+17</f>
        <v>334</v>
      </c>
      <c r="AI3" s="15">
        <f>324+17</f>
        <v>341</v>
      </c>
      <c r="AJ3" s="15">
        <f>324+17</f>
        <v>341</v>
      </c>
      <c r="AK3" s="15">
        <f>324+17</f>
        <v>341</v>
      </c>
      <c r="AL3" s="15">
        <f>325+17</f>
        <v>342</v>
      </c>
      <c r="AM3" s="15">
        <f>325+17</f>
        <v>342</v>
      </c>
      <c r="AN3" s="15">
        <f>329+17</f>
        <v>346</v>
      </c>
      <c r="AO3" s="15">
        <f>324+17</f>
        <v>341</v>
      </c>
      <c r="AP3" s="15">
        <f>326+17</f>
        <v>343</v>
      </c>
      <c r="AQ3" s="15">
        <f>325+17</f>
        <v>342</v>
      </c>
      <c r="AR3" s="15">
        <f>322+17</f>
        <v>339</v>
      </c>
      <c r="AS3" s="15">
        <f>324+17</f>
        <v>341</v>
      </c>
      <c r="AT3" s="15">
        <f>326+17</f>
        <v>343</v>
      </c>
      <c r="AU3" s="15">
        <f>325+17</f>
        <v>342</v>
      </c>
      <c r="AV3" s="15">
        <f>326+17</f>
        <v>343</v>
      </c>
      <c r="AW3" s="15">
        <f>335+17</f>
        <v>352</v>
      </c>
      <c r="AX3" s="15">
        <f>329+17</f>
        <v>346</v>
      </c>
      <c r="AY3" s="15">
        <f>336+17</f>
        <v>353</v>
      </c>
      <c r="AZ3" s="15">
        <f>333+17</f>
        <v>350</v>
      </c>
      <c r="BA3" s="15">
        <f>338+17</f>
        <v>355</v>
      </c>
      <c r="BB3" s="15">
        <f>337+17</f>
        <v>354</v>
      </c>
      <c r="BC3" s="15">
        <f>327+17</f>
        <v>344</v>
      </c>
      <c r="BD3" s="15">
        <f>330+17</f>
        <v>347</v>
      </c>
      <c r="BE3" s="15">
        <f>332+17</f>
        <v>349</v>
      </c>
      <c r="BF3" s="15">
        <f>330+17</f>
        <v>347</v>
      </c>
      <c r="BG3" s="15">
        <f>335+17</f>
        <v>352</v>
      </c>
      <c r="BH3" s="15">
        <f>330+17</f>
        <v>347</v>
      </c>
      <c r="BI3" s="15">
        <f>322+17</f>
        <v>339</v>
      </c>
      <c r="BJ3" s="15">
        <f>317+17</f>
        <v>334</v>
      </c>
      <c r="BK3" s="15">
        <f>329+17</f>
        <v>346</v>
      </c>
      <c r="BL3" s="15">
        <f>320+17</f>
        <v>337</v>
      </c>
      <c r="BM3" s="15">
        <f>323+17</f>
        <v>340</v>
      </c>
      <c r="BN3" s="15">
        <f>319+17</f>
        <v>336</v>
      </c>
      <c r="BO3" s="1">
        <f>325+17</f>
        <v>342</v>
      </c>
      <c r="BP3" s="1">
        <v>334</v>
      </c>
      <c r="BQ3" s="1">
        <v>323</v>
      </c>
      <c r="BR3" s="1">
        <v>328</v>
      </c>
      <c r="BS3" s="37">
        <v>326</v>
      </c>
      <c r="BT3" s="1">
        <v>328</v>
      </c>
      <c r="BU3" s="1">
        <v>332</v>
      </c>
      <c r="BV3" s="1">
        <v>349</v>
      </c>
      <c r="BW3" s="1">
        <v>360</v>
      </c>
      <c r="BX3" s="1">
        <v>360</v>
      </c>
      <c r="BY3" s="1">
        <v>363</v>
      </c>
      <c r="BZ3" s="1">
        <v>371</v>
      </c>
      <c r="CA3" s="1">
        <v>378</v>
      </c>
      <c r="CB3" s="1">
        <v>374</v>
      </c>
      <c r="CC3" s="1">
        <v>375</v>
      </c>
      <c r="CD3" s="1">
        <v>376</v>
      </c>
      <c r="CE3" s="1">
        <v>383</v>
      </c>
      <c r="CF3" s="1">
        <v>387</v>
      </c>
      <c r="CG3" s="1">
        <v>386</v>
      </c>
      <c r="CH3" s="1">
        <v>392</v>
      </c>
      <c r="CI3" s="1">
        <v>405</v>
      </c>
      <c r="CJ3" s="1">
        <v>407</v>
      </c>
      <c r="CK3" s="1">
        <v>399</v>
      </c>
      <c r="CL3" s="1">
        <v>396</v>
      </c>
      <c r="CM3" s="1">
        <v>396</v>
      </c>
      <c r="CN3" s="1">
        <v>397</v>
      </c>
      <c r="CO3" s="1">
        <v>400</v>
      </c>
      <c r="CP3" s="1">
        <v>395</v>
      </c>
      <c r="CQ3" s="1">
        <v>387</v>
      </c>
      <c r="CR3" s="1">
        <v>385</v>
      </c>
      <c r="CS3" s="1">
        <v>392</v>
      </c>
      <c r="CT3" s="1">
        <v>397</v>
      </c>
      <c r="CU3" s="1">
        <v>418</v>
      </c>
      <c r="CV3" s="1">
        <v>417</v>
      </c>
      <c r="CW3" s="1">
        <v>421</v>
      </c>
      <c r="CX3" s="1">
        <f>412+14</f>
        <v>426</v>
      </c>
      <c r="CY3" s="1">
        <v>417</v>
      </c>
      <c r="CZ3" s="1">
        <v>424</v>
      </c>
      <c r="DA3" s="1">
        <v>424</v>
      </c>
      <c r="DB3" s="1">
        <v>420</v>
      </c>
      <c r="DC3" s="1">
        <v>420</v>
      </c>
      <c r="DD3" s="1">
        <v>423</v>
      </c>
      <c r="DE3" s="1">
        <f>404+13</f>
        <v>417</v>
      </c>
      <c r="DF3" s="1">
        <v>421</v>
      </c>
      <c r="DG3" s="1">
        <v>451</v>
      </c>
      <c r="DH3" s="1">
        <f>433+13</f>
        <v>446</v>
      </c>
      <c r="DI3" s="1">
        <f>428+13</f>
        <v>441</v>
      </c>
      <c r="DJ3" s="1">
        <v>439</v>
      </c>
      <c r="DK3" s="1">
        <v>431</v>
      </c>
      <c r="DL3" s="1">
        <v>440</v>
      </c>
      <c r="DM3" s="1">
        <v>445</v>
      </c>
      <c r="DN3" s="1">
        <v>441</v>
      </c>
      <c r="DO3" s="1">
        <v>444</v>
      </c>
      <c r="DP3" s="1">
        <v>441</v>
      </c>
      <c r="DQ3" s="1">
        <v>449</v>
      </c>
      <c r="DR3" s="1">
        <v>440</v>
      </c>
      <c r="DS3" s="1">
        <v>438</v>
      </c>
      <c r="DT3" s="1">
        <v>437</v>
      </c>
      <c r="DU3" s="1">
        <v>435</v>
      </c>
      <c r="DV3" s="1">
        <v>433</v>
      </c>
      <c r="DW3" s="1">
        <v>432</v>
      </c>
      <c r="DX3" s="1">
        <v>430</v>
      </c>
      <c r="DY3" s="1">
        <v>428</v>
      </c>
      <c r="DZ3" s="1">
        <v>430</v>
      </c>
      <c r="EA3" s="1">
        <v>426</v>
      </c>
      <c r="EB3" s="1">
        <v>428</v>
      </c>
      <c r="EC3" s="1">
        <v>439</v>
      </c>
    </row>
    <row r="4" spans="1:138" x14ac:dyDescent="0.25">
      <c r="A4" s="75" t="s">
        <v>27</v>
      </c>
      <c r="D4" s="1" t="s">
        <v>28</v>
      </c>
      <c r="E4" s="23">
        <f t="shared" ref="E4:N4" si="0">AVERAGE(E3:G3)</f>
        <v>275.33333333333331</v>
      </c>
      <c r="F4" s="23">
        <f t="shared" si="0"/>
        <v>276</v>
      </c>
      <c r="G4" s="23">
        <f t="shared" si="0"/>
        <v>276.33333333333331</v>
      </c>
      <c r="H4" s="23">
        <f t="shared" si="0"/>
        <v>278</v>
      </c>
      <c r="I4" s="23">
        <f t="shared" si="0"/>
        <v>277.66666666666669</v>
      </c>
      <c r="J4" s="23">
        <f t="shared" si="0"/>
        <v>275.33333333333331</v>
      </c>
      <c r="K4" s="23">
        <f t="shared" si="0"/>
        <v>272</v>
      </c>
      <c r="L4" s="23">
        <f t="shared" si="0"/>
        <v>271</v>
      </c>
      <c r="M4" s="23">
        <f t="shared" si="0"/>
        <v>275.66666666666669</v>
      </c>
      <c r="N4" s="23">
        <f t="shared" si="0"/>
        <v>281.33333333333331</v>
      </c>
      <c r="O4" s="23">
        <f t="shared" ref="O4:X4" si="1">AVERAGE(O3:Q3)</f>
        <v>287.33333333333331</v>
      </c>
      <c r="P4" s="23">
        <f t="shared" si="1"/>
        <v>290</v>
      </c>
      <c r="Q4" s="90">
        <f t="shared" si="1"/>
        <v>292</v>
      </c>
      <c r="R4" s="39">
        <f t="shared" si="1"/>
        <v>293</v>
      </c>
      <c r="S4" s="39">
        <f t="shared" si="1"/>
        <v>295.33333333333331</v>
      </c>
      <c r="T4" s="39">
        <f t="shared" si="1"/>
        <v>296.66666666666669</v>
      </c>
      <c r="U4" s="39">
        <f t="shared" si="1"/>
        <v>298.66666666666669</v>
      </c>
      <c r="V4" s="39">
        <f t="shared" si="1"/>
        <v>300.33333333333331</v>
      </c>
      <c r="W4" s="39">
        <f t="shared" si="1"/>
        <v>304.33333333333331</v>
      </c>
      <c r="X4" s="39">
        <f t="shared" si="1"/>
        <v>307.66666666666669</v>
      </c>
      <c r="Y4" s="39">
        <f>AVERAGE(Y3:Z3)</f>
        <v>309</v>
      </c>
      <c r="Z4" s="39">
        <f>AVERAGE(Z3:Z3)</f>
        <v>310</v>
      </c>
      <c r="AA4" s="39">
        <f t="shared" ref="AA4:AJ4" si="2">AVERAGE(AA3:AC3)</f>
        <v>319</v>
      </c>
      <c r="AB4" s="39">
        <f t="shared" si="2"/>
        <v>321</v>
      </c>
      <c r="AC4" s="39">
        <f t="shared" si="2"/>
        <v>323.33333333333331</v>
      </c>
      <c r="AD4" s="39">
        <f t="shared" si="2"/>
        <v>324.66666666666669</v>
      </c>
      <c r="AE4" s="39">
        <f t="shared" si="2"/>
        <v>325.66666666666669</v>
      </c>
      <c r="AF4" s="39">
        <f t="shared" si="2"/>
        <v>328.33333333333331</v>
      </c>
      <c r="AG4" s="39">
        <f t="shared" si="2"/>
        <v>334</v>
      </c>
      <c r="AH4" s="39">
        <f t="shared" si="2"/>
        <v>338.66666666666669</v>
      </c>
      <c r="AI4" s="39">
        <f t="shared" si="2"/>
        <v>341</v>
      </c>
      <c r="AJ4" s="39">
        <f t="shared" si="2"/>
        <v>341.33333333333331</v>
      </c>
      <c r="AK4" s="39">
        <f>AVERAGE(AK3:AL3)</f>
        <v>341.5</v>
      </c>
      <c r="AL4" s="39">
        <f>AVERAGE(AL3:AL3)</f>
        <v>342</v>
      </c>
      <c r="AM4" s="39">
        <f t="shared" ref="AM4:BG4" si="3">AVERAGE(AM3:AP3)</f>
        <v>343</v>
      </c>
      <c r="AN4" s="39">
        <f t="shared" si="3"/>
        <v>343</v>
      </c>
      <c r="AO4" s="39">
        <f t="shared" si="3"/>
        <v>341.25</v>
      </c>
      <c r="AP4" s="39">
        <f t="shared" si="3"/>
        <v>341.25</v>
      </c>
      <c r="AQ4" s="39">
        <f t="shared" si="3"/>
        <v>341.25</v>
      </c>
      <c r="AR4" s="39">
        <f t="shared" si="3"/>
        <v>341.25</v>
      </c>
      <c r="AS4" s="39">
        <f t="shared" si="3"/>
        <v>342.25</v>
      </c>
      <c r="AT4" s="39">
        <f t="shared" si="3"/>
        <v>345</v>
      </c>
      <c r="AU4" s="39">
        <f t="shared" si="3"/>
        <v>345.75</v>
      </c>
      <c r="AV4" s="39">
        <f t="shared" si="3"/>
        <v>348.5</v>
      </c>
      <c r="AW4" s="39">
        <f t="shared" si="3"/>
        <v>350.25</v>
      </c>
      <c r="AX4" s="39">
        <f t="shared" si="3"/>
        <v>351</v>
      </c>
      <c r="AY4" s="39">
        <f t="shared" si="3"/>
        <v>353</v>
      </c>
      <c r="AZ4" s="39">
        <f t="shared" si="3"/>
        <v>350.75</v>
      </c>
      <c r="BA4" s="39">
        <f t="shared" si="3"/>
        <v>350</v>
      </c>
      <c r="BB4" s="39">
        <f t="shared" si="3"/>
        <v>348.5</v>
      </c>
      <c r="BC4" s="39">
        <f t="shared" si="3"/>
        <v>346.75</v>
      </c>
      <c r="BD4" s="39">
        <f t="shared" si="3"/>
        <v>348.75</v>
      </c>
      <c r="BE4" s="39">
        <f t="shared" si="3"/>
        <v>348.75</v>
      </c>
      <c r="BF4" s="39">
        <f t="shared" si="3"/>
        <v>346.25</v>
      </c>
      <c r="BG4" s="39">
        <f t="shared" si="3"/>
        <v>343</v>
      </c>
      <c r="BH4" s="39">
        <f>AVERAGE(BH3:BJ3)</f>
        <v>340</v>
      </c>
      <c r="BI4" s="39">
        <f>AVERAGE(BI3:BJ3)</f>
        <v>336.5</v>
      </c>
      <c r="BJ4" s="39">
        <f>AVERAGE(BJ3)</f>
        <v>334</v>
      </c>
      <c r="BK4" s="39">
        <f t="shared" ref="BK4:BP4" si="4">AVERAGE(BK3:BQ3)</f>
        <v>336.85714285714283</v>
      </c>
      <c r="BL4" s="39">
        <f t="shared" si="4"/>
        <v>334.28571428571428</v>
      </c>
      <c r="BM4" s="39">
        <f t="shared" si="4"/>
        <v>332.71428571428572</v>
      </c>
      <c r="BN4" s="39">
        <f t="shared" si="4"/>
        <v>331</v>
      </c>
      <c r="BO4" s="39">
        <f t="shared" si="4"/>
        <v>330.42857142857144</v>
      </c>
      <c r="BP4" s="23">
        <f t="shared" si="4"/>
        <v>331.42857142857144</v>
      </c>
      <c r="BQ4" s="23">
        <f>AVERAGE(BQ3:BV3)</f>
        <v>331</v>
      </c>
      <c r="BR4" s="23">
        <f>AVERAGE(BR3:BV3)</f>
        <v>332.6</v>
      </c>
      <c r="BS4" s="41">
        <f>AVERAGE(BS3:BV3)</f>
        <v>333.75</v>
      </c>
      <c r="BT4" s="23">
        <f>AVERAGE(BT3:BV3)</f>
        <v>336.33333333333331</v>
      </c>
      <c r="BU4" s="23">
        <f>AVERAGE(BU3:BV3)</f>
        <v>340.5</v>
      </c>
      <c r="BV4" s="23">
        <f>AVERAGE(BV3)</f>
        <v>349</v>
      </c>
      <c r="BW4" s="23">
        <f>AVERAGE(BW3:CH3)</f>
        <v>375.41666666666669</v>
      </c>
      <c r="BX4" s="23">
        <f>AVERAGE(BX3:CH3)</f>
        <v>376.81818181818181</v>
      </c>
      <c r="BY4" s="23">
        <f>AVERAGE(BY3:CH3)</f>
        <v>378.5</v>
      </c>
      <c r="BZ4" s="23">
        <f>AVERAGE(BZ3:CH3)</f>
        <v>380.22222222222223</v>
      </c>
      <c r="CA4" s="23">
        <f>AVERAGE(CA3:CH3)</f>
        <v>381.375</v>
      </c>
      <c r="CB4" s="23">
        <f>AVERAGE(CB3:CH3)</f>
        <v>381.85714285714283</v>
      </c>
      <c r="CC4" s="23">
        <f>AVERAGE(CC3:CH3)</f>
        <v>383.16666666666669</v>
      </c>
      <c r="CD4" s="23">
        <f>AVERAGE(CD3:CH3)</f>
        <v>384.8</v>
      </c>
      <c r="CE4" s="23">
        <f>AVERAGE(CE3:CH3)</f>
        <v>387</v>
      </c>
      <c r="CF4" s="23">
        <f>AVERAGE(CF3:CH3)</f>
        <v>388.33333333333331</v>
      </c>
      <c r="CG4" s="23">
        <f>AVERAGE(CG3:CH3)</f>
        <v>389</v>
      </c>
      <c r="CH4" s="23">
        <f>AVERAGE(CH3)</f>
        <v>392</v>
      </c>
      <c r="CI4" s="23">
        <f>AVERAGE(CI3:CT3)</f>
        <v>396.33333333333331</v>
      </c>
      <c r="CJ4" s="23">
        <f>AVERAGE(CJ3:CT3)</f>
        <v>395.54545454545456</v>
      </c>
      <c r="CK4" s="23">
        <f>AVERAGE(CK3:CT3)</f>
        <v>394.4</v>
      </c>
      <c r="CL4" s="23">
        <f>AVERAGE(CL3:CT3)</f>
        <v>393.88888888888891</v>
      </c>
      <c r="CM4" s="23">
        <f>AVERAGE(CM3:CT3)</f>
        <v>393.625</v>
      </c>
      <c r="CN4" s="23">
        <f>AVERAGE(CN3:CT3)</f>
        <v>393.28571428571428</v>
      </c>
      <c r="CO4" s="23">
        <f>AVERAGE(CO3:CT3)</f>
        <v>392.66666666666669</v>
      </c>
      <c r="CP4" s="23">
        <f>AVERAGE(CP3:CT3)</f>
        <v>391.2</v>
      </c>
      <c r="CQ4" s="23">
        <f>AVERAGE(CQ3:CT3)</f>
        <v>390.25</v>
      </c>
      <c r="CR4" s="23">
        <f>AVERAGE(CR3:CT3)</f>
        <v>391.33333333333331</v>
      </c>
      <c r="CS4" s="23">
        <f>AVERAGE(CS3:CT3)</f>
        <v>394.5</v>
      </c>
      <c r="CT4" s="23">
        <f>AVERAGE(CT3)</f>
        <v>397</v>
      </c>
      <c r="CU4" s="23">
        <f>AVERAGE(CU3:DF3)</f>
        <v>420.66666666666669</v>
      </c>
      <c r="CV4" s="23">
        <f>AVERAGE(CV3:DF3)</f>
        <v>420.90909090909093</v>
      </c>
      <c r="CW4" s="23">
        <f>AVERAGE(CW3:DF3)</f>
        <v>421.3</v>
      </c>
      <c r="CX4" s="23">
        <f>AVERAGE(CX3:DF3)</f>
        <v>421.33333333333331</v>
      </c>
      <c r="CY4" s="23">
        <f>AVERAGE(CY3:DF3)</f>
        <v>420.75</v>
      </c>
      <c r="CZ4" s="23">
        <f>AVERAGE(CZ3:DF3)</f>
        <v>421.28571428571428</v>
      </c>
      <c r="DA4" s="23">
        <f>AVERAGE(DA3:DF3)</f>
        <v>420.83333333333331</v>
      </c>
      <c r="DB4" s="23">
        <f>AVERAGE(DB3:DF3)</f>
        <v>420.2</v>
      </c>
      <c r="DC4" s="23">
        <f>AVERAGE(DC3:DF3)</f>
        <v>420.25</v>
      </c>
      <c r="DD4" s="23">
        <f>AVERAGE(DD3:DF3)</f>
        <v>420.33333333333331</v>
      </c>
      <c r="DE4" s="23">
        <f>AVERAGE(DE3:DF3)</f>
        <v>419</v>
      </c>
      <c r="DF4" s="23">
        <f>AVERAGE(DF3)</f>
        <v>421</v>
      </c>
      <c r="DG4" s="23">
        <f>AVERAGE(DG3:DQ3)</f>
        <v>442.54545454545456</v>
      </c>
      <c r="DH4" s="23">
        <f>AVERAGE(DH3:DQ3)</f>
        <v>441.7</v>
      </c>
      <c r="DI4" s="23">
        <f>AVERAGE(DI3:DQ3)</f>
        <v>441.22222222222223</v>
      </c>
      <c r="DJ4" s="23">
        <f>AVERAGE(DJ3:DQ3)</f>
        <v>441.25</v>
      </c>
      <c r="DK4" s="23">
        <f>AVERAGE(DK3:DQ3)</f>
        <v>441.57142857142856</v>
      </c>
      <c r="DL4" s="23">
        <f>AVERAGE(DL3:DQ3)</f>
        <v>443.33333333333331</v>
      </c>
      <c r="DM4" s="23">
        <f>AVERAGE(DM3:DQ3)</f>
        <v>444</v>
      </c>
      <c r="DN4" s="23">
        <f>AVERAGE(DN3:DQ3)</f>
        <v>443.75</v>
      </c>
      <c r="DO4" s="23">
        <f>AVERAGE(DO3:DQ3)</f>
        <v>444.66666666666669</v>
      </c>
      <c r="DP4" s="23">
        <f>AVERAGE(DP3:DQ3)</f>
        <v>445</v>
      </c>
      <c r="DQ4" s="23">
        <f>+DQ3</f>
        <v>449</v>
      </c>
      <c r="DR4" s="23">
        <f>AVERAGE(DS3:EC3)</f>
        <v>432.36363636363637</v>
      </c>
      <c r="DS4" s="23">
        <f>AVERAGE(DS3:EC3)</f>
        <v>432.36363636363637</v>
      </c>
      <c r="DT4" s="23">
        <f>AVERAGE(DT3:EC3)</f>
        <v>431.8</v>
      </c>
      <c r="DU4" s="23">
        <f>AVERAGE(DU3:EC3)</f>
        <v>431.22222222222223</v>
      </c>
      <c r="DV4" s="23">
        <f>AVERAGE(DV3:EC3)</f>
        <v>430.75</v>
      </c>
      <c r="DW4" s="23">
        <f>AVERAGE(DW3:EC3)</f>
        <v>430.42857142857144</v>
      </c>
      <c r="DX4" s="23">
        <f>AVERAGE(DX3:EC3)</f>
        <v>430.16666666666669</v>
      </c>
      <c r="DY4" s="23">
        <f>AVERAGE(DY3:EC3)</f>
        <v>430.2</v>
      </c>
      <c r="DZ4" s="23">
        <f>AVERAGE(DZ3:EC3)</f>
        <v>430.75</v>
      </c>
      <c r="EA4" s="23">
        <f t="shared" ref="EA4:EB4" si="5">AVERAGE(EA3:EB3)</f>
        <v>427</v>
      </c>
      <c r="EB4" s="23">
        <f t="shared" si="5"/>
        <v>433.5</v>
      </c>
      <c r="EC4" s="1">
        <f>+EC3</f>
        <v>439</v>
      </c>
      <c r="EE4" s="17"/>
    </row>
    <row r="5" spans="1:138" x14ac:dyDescent="0.25">
      <c r="A5" s="1" t="s">
        <v>29</v>
      </c>
      <c r="D5" s="1" t="s">
        <v>30</v>
      </c>
      <c r="E5" s="1">
        <f t="shared" ref="E5:Z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f t="shared" si="6"/>
        <v>363</v>
      </c>
      <c r="R5" s="15">
        <f t="shared" si="6"/>
        <v>363</v>
      </c>
      <c r="S5" s="15">
        <f t="shared" si="6"/>
        <v>363</v>
      </c>
      <c r="T5" s="15">
        <f t="shared" si="6"/>
        <v>363</v>
      </c>
      <c r="U5" s="15">
        <f t="shared" si="6"/>
        <v>363</v>
      </c>
      <c r="V5" s="15">
        <f t="shared" si="6"/>
        <v>363</v>
      </c>
      <c r="W5" s="15">
        <f t="shared" si="6"/>
        <v>363</v>
      </c>
      <c r="X5" s="15">
        <f t="shared" si="6"/>
        <v>363</v>
      </c>
      <c r="Y5" s="15">
        <f t="shared" si="6"/>
        <v>363</v>
      </c>
      <c r="Z5" s="15">
        <f t="shared" si="6"/>
        <v>363</v>
      </c>
      <c r="AA5" s="15">
        <v>407</v>
      </c>
      <c r="AB5" s="15">
        <v>407</v>
      </c>
      <c r="AC5" s="15">
        <v>407</v>
      </c>
      <c r="AD5" s="15">
        <v>407</v>
      </c>
      <c r="AE5" s="15">
        <v>407</v>
      </c>
      <c r="AF5" s="15">
        <v>407</v>
      </c>
      <c r="AG5" s="15">
        <v>407</v>
      </c>
      <c r="AH5" s="15">
        <v>407</v>
      </c>
      <c r="AI5" s="15">
        <v>407</v>
      </c>
      <c r="AJ5" s="15">
        <v>407</v>
      </c>
      <c r="AK5" s="15">
        <v>407</v>
      </c>
      <c r="AL5" s="15">
        <v>407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382</v>
      </c>
      <c r="BB5" s="15">
        <v>382</v>
      </c>
      <c r="BC5" s="15">
        <v>382</v>
      </c>
      <c r="BD5" s="17">
        <v>382</v>
      </c>
      <c r="BE5" s="15">
        <v>382</v>
      </c>
      <c r="BF5" s="15">
        <v>382</v>
      </c>
      <c r="BG5" s="15">
        <v>382</v>
      </c>
      <c r="BH5" s="15">
        <v>382</v>
      </c>
      <c r="BI5" s="15">
        <v>382</v>
      </c>
      <c r="BJ5" s="15">
        <v>382</v>
      </c>
      <c r="BK5" s="15">
        <v>363</v>
      </c>
      <c r="BL5" s="15">
        <v>363</v>
      </c>
      <c r="BM5" s="15">
        <v>363</v>
      </c>
      <c r="BN5" s="14">
        <v>363</v>
      </c>
      <c r="BO5" s="16">
        <v>363</v>
      </c>
      <c r="BP5" s="1">
        <v>363</v>
      </c>
      <c r="BQ5" s="1">
        <v>363</v>
      </c>
      <c r="BR5" s="1">
        <v>363</v>
      </c>
      <c r="BS5" s="37">
        <v>363</v>
      </c>
      <c r="BT5" s="1">
        <v>363</v>
      </c>
      <c r="BU5" s="1">
        <v>363</v>
      </c>
      <c r="BV5" s="1">
        <v>363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415</v>
      </c>
      <c r="CN5" s="1">
        <v>415</v>
      </c>
      <c r="CO5" s="1">
        <v>415</v>
      </c>
      <c r="CP5" s="1">
        <v>415</v>
      </c>
      <c r="CQ5" s="1">
        <v>415</v>
      </c>
      <c r="CR5" s="1">
        <v>415</v>
      </c>
      <c r="CS5" s="1">
        <v>415</v>
      </c>
      <c r="CT5" s="1">
        <v>415</v>
      </c>
      <c r="CU5" s="1">
        <v>445</v>
      </c>
      <c r="CV5" s="1">
        <v>445</v>
      </c>
      <c r="CW5" s="1">
        <v>445</v>
      </c>
      <c r="CX5" s="1">
        <v>445</v>
      </c>
      <c r="CY5" s="1">
        <v>445</v>
      </c>
      <c r="CZ5" s="1">
        <v>445</v>
      </c>
      <c r="DA5" s="1">
        <v>445</v>
      </c>
      <c r="DB5" s="1">
        <v>445</v>
      </c>
      <c r="DC5" s="1">
        <v>445</v>
      </c>
      <c r="DD5" s="1">
        <v>445</v>
      </c>
      <c r="DE5" s="1">
        <v>445</v>
      </c>
      <c r="DF5" s="1">
        <v>445</v>
      </c>
      <c r="DG5" s="1">
        <v>461</v>
      </c>
      <c r="DH5" s="1">
        <v>461</v>
      </c>
      <c r="DI5" s="1">
        <v>461</v>
      </c>
      <c r="DJ5" s="1">
        <v>461</v>
      </c>
      <c r="DK5" s="1">
        <v>461</v>
      </c>
      <c r="DL5" s="1">
        <v>461</v>
      </c>
      <c r="DM5" s="1">
        <v>461</v>
      </c>
      <c r="DN5" s="1">
        <v>461</v>
      </c>
      <c r="DO5" s="1">
        <v>461</v>
      </c>
      <c r="DP5" s="1">
        <v>461</v>
      </c>
      <c r="DQ5" s="1">
        <v>461</v>
      </c>
      <c r="DR5" s="1">
        <v>460</v>
      </c>
      <c r="DS5" s="1">
        <v>460</v>
      </c>
      <c r="DT5" s="1">
        <v>460</v>
      </c>
      <c r="DU5" s="1">
        <v>460</v>
      </c>
      <c r="DV5" s="1">
        <v>460</v>
      </c>
      <c r="DW5" s="1">
        <v>460</v>
      </c>
      <c r="DX5" s="1">
        <v>460</v>
      </c>
      <c r="DY5" s="1">
        <v>460</v>
      </c>
      <c r="DZ5" s="1">
        <v>460</v>
      </c>
      <c r="EA5" s="1">
        <v>460</v>
      </c>
      <c r="EB5" s="1">
        <v>460</v>
      </c>
      <c r="EC5" s="1">
        <v>460</v>
      </c>
      <c r="ED5" s="17"/>
      <c r="EE5" s="17"/>
      <c r="EF5" s="17"/>
    </row>
    <row r="6" spans="1:138" x14ac:dyDescent="0.25">
      <c r="A6" s="1" t="s">
        <v>31</v>
      </c>
      <c r="D6" s="1" t="s">
        <v>32</v>
      </c>
      <c r="E6" s="23">
        <f t="shared" ref="E6:F6" si="7">+E4-E5</f>
        <v>-87.666666666666686</v>
      </c>
      <c r="F6" s="23">
        <f t="shared" si="7"/>
        <v>-87</v>
      </c>
      <c r="G6" s="23">
        <f t="shared" ref="G6:H6" si="8">+G4-G5</f>
        <v>-86.666666666666686</v>
      </c>
      <c r="H6" s="23">
        <f t="shared" si="8"/>
        <v>-85</v>
      </c>
      <c r="I6" s="23">
        <f t="shared" ref="I6:J6" si="9">+I4-I5</f>
        <v>-85.333333333333314</v>
      </c>
      <c r="J6" s="23">
        <f t="shared" si="9"/>
        <v>-87.666666666666686</v>
      </c>
      <c r="K6" s="23">
        <f t="shared" ref="K6:L6" si="10">+K4-K5</f>
        <v>-91</v>
      </c>
      <c r="L6" s="23">
        <f t="shared" si="10"/>
        <v>-92</v>
      </c>
      <c r="M6" s="23">
        <f t="shared" ref="M6:N6" si="11">+M4-M5</f>
        <v>-87.333333333333314</v>
      </c>
      <c r="N6" s="23">
        <f t="shared" si="11"/>
        <v>-81.666666666666686</v>
      </c>
      <c r="O6" s="23">
        <f t="shared" ref="O6:BZ6" si="12">+O4-O5</f>
        <v>-75.666666666666686</v>
      </c>
      <c r="P6" s="23">
        <f t="shared" si="12"/>
        <v>-73</v>
      </c>
      <c r="Q6" s="90">
        <f t="shared" si="12"/>
        <v>-71</v>
      </c>
      <c r="R6" s="39">
        <f t="shared" si="12"/>
        <v>-70</v>
      </c>
      <c r="S6" s="39">
        <f t="shared" si="12"/>
        <v>-67.666666666666686</v>
      </c>
      <c r="T6" s="39">
        <f t="shared" si="12"/>
        <v>-66.333333333333314</v>
      </c>
      <c r="U6" s="39">
        <f t="shared" si="12"/>
        <v>-64.333333333333314</v>
      </c>
      <c r="V6" s="39">
        <f t="shared" si="12"/>
        <v>-62.666666666666686</v>
      </c>
      <c r="W6" s="39">
        <f t="shared" si="12"/>
        <v>-58.666666666666686</v>
      </c>
      <c r="X6" s="39">
        <f t="shared" si="12"/>
        <v>-55.333333333333314</v>
      </c>
      <c r="Y6" s="39">
        <f t="shared" si="12"/>
        <v>-54</v>
      </c>
      <c r="Z6" s="39">
        <f t="shared" si="12"/>
        <v>-53</v>
      </c>
      <c r="AA6" s="39">
        <f t="shared" si="12"/>
        <v>-88</v>
      </c>
      <c r="AB6" s="39">
        <f t="shared" si="12"/>
        <v>-86</v>
      </c>
      <c r="AC6" s="39">
        <f t="shared" si="12"/>
        <v>-83.666666666666686</v>
      </c>
      <c r="AD6" s="39">
        <f t="shared" si="12"/>
        <v>-82.333333333333314</v>
      </c>
      <c r="AE6" s="39">
        <f t="shared" si="12"/>
        <v>-81.333333333333314</v>
      </c>
      <c r="AF6" s="39">
        <f t="shared" si="12"/>
        <v>-78.666666666666686</v>
      </c>
      <c r="AG6" s="39">
        <f t="shared" si="12"/>
        <v>-73</v>
      </c>
      <c r="AH6" s="39">
        <f t="shared" si="12"/>
        <v>-68.333333333333314</v>
      </c>
      <c r="AI6" s="39">
        <f t="shared" si="12"/>
        <v>-66</v>
      </c>
      <c r="AJ6" s="39">
        <f t="shared" si="12"/>
        <v>-65.666666666666686</v>
      </c>
      <c r="AK6" s="39">
        <f t="shared" si="12"/>
        <v>-65.5</v>
      </c>
      <c r="AL6" s="39">
        <f t="shared" si="12"/>
        <v>-65</v>
      </c>
      <c r="AM6" s="39">
        <f t="shared" si="12"/>
        <v>-39</v>
      </c>
      <c r="AN6" s="39">
        <f t="shared" si="12"/>
        <v>-39</v>
      </c>
      <c r="AO6" s="39">
        <f t="shared" si="12"/>
        <v>-40.75</v>
      </c>
      <c r="AP6" s="39">
        <f t="shared" si="12"/>
        <v>-40.75</v>
      </c>
      <c r="AQ6" s="39">
        <f t="shared" si="12"/>
        <v>-40.75</v>
      </c>
      <c r="AR6" s="39">
        <f t="shared" si="12"/>
        <v>-40.75</v>
      </c>
      <c r="AS6" s="39">
        <f t="shared" si="12"/>
        <v>-39.75</v>
      </c>
      <c r="AT6" s="39">
        <f t="shared" si="12"/>
        <v>-37</v>
      </c>
      <c r="AU6" s="39">
        <f t="shared" si="12"/>
        <v>-36.25</v>
      </c>
      <c r="AV6" s="39">
        <f t="shared" si="12"/>
        <v>-33.5</v>
      </c>
      <c r="AW6" s="39">
        <f t="shared" si="12"/>
        <v>-31.75</v>
      </c>
      <c r="AX6" s="39">
        <f t="shared" si="12"/>
        <v>-31</v>
      </c>
      <c r="AY6" s="39">
        <f t="shared" si="12"/>
        <v>-29</v>
      </c>
      <c r="AZ6" s="39">
        <f t="shared" si="12"/>
        <v>-31.25</v>
      </c>
      <c r="BA6" s="39">
        <f t="shared" si="12"/>
        <v>-32</v>
      </c>
      <c r="BB6" s="39">
        <f t="shared" si="12"/>
        <v>-33.5</v>
      </c>
      <c r="BC6" s="39">
        <f t="shared" si="12"/>
        <v>-35.25</v>
      </c>
      <c r="BD6" s="39">
        <f t="shared" si="12"/>
        <v>-33.25</v>
      </c>
      <c r="BE6" s="39">
        <f t="shared" si="12"/>
        <v>-33.25</v>
      </c>
      <c r="BF6" s="39">
        <f t="shared" si="12"/>
        <v>-35.75</v>
      </c>
      <c r="BG6" s="39">
        <f t="shared" si="12"/>
        <v>-39</v>
      </c>
      <c r="BH6" s="39">
        <f t="shared" si="12"/>
        <v>-42</v>
      </c>
      <c r="BI6" s="39">
        <f t="shared" si="12"/>
        <v>-45.5</v>
      </c>
      <c r="BJ6" s="39">
        <f t="shared" si="12"/>
        <v>-48</v>
      </c>
      <c r="BK6" s="39">
        <f t="shared" si="12"/>
        <v>-26.142857142857167</v>
      </c>
      <c r="BL6" s="39">
        <f t="shared" si="12"/>
        <v>-28.714285714285722</v>
      </c>
      <c r="BM6" s="39">
        <f t="shared" si="12"/>
        <v>-30.285714285714278</v>
      </c>
      <c r="BN6" s="39">
        <f t="shared" si="12"/>
        <v>-32</v>
      </c>
      <c r="BO6" s="39">
        <f t="shared" si="12"/>
        <v>-32.571428571428555</v>
      </c>
      <c r="BP6" s="23">
        <f t="shared" si="12"/>
        <v>-31.571428571428555</v>
      </c>
      <c r="BQ6" s="23">
        <f t="shared" si="12"/>
        <v>-32</v>
      </c>
      <c r="BR6" s="23">
        <f t="shared" si="12"/>
        <v>-30.399999999999977</v>
      </c>
      <c r="BS6" s="41">
        <f t="shared" si="12"/>
        <v>-29.25</v>
      </c>
      <c r="BT6" s="23">
        <f t="shared" si="12"/>
        <v>-26.666666666666686</v>
      </c>
      <c r="BU6" s="23">
        <f t="shared" si="12"/>
        <v>-22.5</v>
      </c>
      <c r="BV6" s="23">
        <f t="shared" si="12"/>
        <v>-14</v>
      </c>
      <c r="BW6" s="23">
        <f t="shared" si="12"/>
        <v>-39.583333333333314</v>
      </c>
      <c r="BX6" s="23">
        <f t="shared" si="12"/>
        <v>-38.181818181818187</v>
      </c>
      <c r="BY6" s="23">
        <f t="shared" si="12"/>
        <v>-36.5</v>
      </c>
      <c r="BZ6" s="23">
        <f t="shared" si="12"/>
        <v>-34.777777777777771</v>
      </c>
      <c r="CA6" s="23">
        <f t="shared" ref="CA6:EC6" si="13">+CA4-CA5</f>
        <v>-33.625</v>
      </c>
      <c r="CB6" s="23">
        <f t="shared" si="13"/>
        <v>-33.142857142857167</v>
      </c>
      <c r="CC6" s="23">
        <f t="shared" si="13"/>
        <v>-31.833333333333314</v>
      </c>
      <c r="CD6" s="23">
        <f t="shared" si="13"/>
        <v>-30.199999999999989</v>
      </c>
      <c r="CE6" s="23">
        <f t="shared" si="13"/>
        <v>-28</v>
      </c>
      <c r="CF6" s="23">
        <f t="shared" si="13"/>
        <v>-26.666666666666686</v>
      </c>
      <c r="CG6" s="23">
        <f t="shared" si="13"/>
        <v>-26</v>
      </c>
      <c r="CH6" s="23">
        <f t="shared" si="13"/>
        <v>-23</v>
      </c>
      <c r="CI6" s="23">
        <f t="shared" si="13"/>
        <v>-18.666666666666686</v>
      </c>
      <c r="CJ6" s="23">
        <f t="shared" si="13"/>
        <v>-19.454545454545439</v>
      </c>
      <c r="CK6" s="23">
        <f t="shared" si="13"/>
        <v>-20.600000000000023</v>
      </c>
      <c r="CL6" s="23">
        <f t="shared" si="13"/>
        <v>-21.111111111111086</v>
      </c>
      <c r="CM6" s="23">
        <f t="shared" si="13"/>
        <v>-21.375</v>
      </c>
      <c r="CN6" s="23">
        <f t="shared" si="13"/>
        <v>-21.714285714285722</v>
      </c>
      <c r="CO6" s="23">
        <f t="shared" si="13"/>
        <v>-22.333333333333314</v>
      </c>
      <c r="CP6" s="23">
        <f t="shared" si="13"/>
        <v>-23.800000000000011</v>
      </c>
      <c r="CQ6" s="23">
        <f t="shared" si="13"/>
        <v>-24.75</v>
      </c>
      <c r="CR6" s="23">
        <f t="shared" si="13"/>
        <v>-23.666666666666686</v>
      </c>
      <c r="CS6" s="23">
        <f t="shared" si="13"/>
        <v>-20.5</v>
      </c>
      <c r="CT6" s="23">
        <f t="shared" si="13"/>
        <v>-18</v>
      </c>
      <c r="CU6" s="23">
        <f t="shared" si="13"/>
        <v>-24.333333333333314</v>
      </c>
      <c r="CV6" s="23">
        <f t="shared" si="13"/>
        <v>-24.090909090909065</v>
      </c>
      <c r="CW6" s="23">
        <f t="shared" si="13"/>
        <v>-23.699999999999989</v>
      </c>
      <c r="CX6" s="23">
        <f t="shared" si="13"/>
        <v>-23.666666666666686</v>
      </c>
      <c r="CY6" s="23">
        <f t="shared" si="13"/>
        <v>-24.25</v>
      </c>
      <c r="CZ6" s="23">
        <f t="shared" si="13"/>
        <v>-23.714285714285722</v>
      </c>
      <c r="DA6" s="23">
        <f t="shared" si="13"/>
        <v>-24.166666666666686</v>
      </c>
      <c r="DB6" s="23">
        <f t="shared" si="13"/>
        <v>-24.800000000000011</v>
      </c>
      <c r="DC6" s="23">
        <f t="shared" si="13"/>
        <v>-24.75</v>
      </c>
      <c r="DD6" s="23">
        <f t="shared" si="13"/>
        <v>-24.666666666666686</v>
      </c>
      <c r="DE6" s="23">
        <f t="shared" si="13"/>
        <v>-26</v>
      </c>
      <c r="DF6" s="23">
        <f t="shared" si="13"/>
        <v>-24</v>
      </c>
      <c r="DG6" s="23">
        <f t="shared" si="13"/>
        <v>-18.454545454545439</v>
      </c>
      <c r="DH6" s="23">
        <f t="shared" si="13"/>
        <v>-19.300000000000011</v>
      </c>
      <c r="DI6" s="23">
        <f t="shared" si="13"/>
        <v>-19.777777777777771</v>
      </c>
      <c r="DJ6" s="23">
        <f t="shared" si="13"/>
        <v>-19.75</v>
      </c>
      <c r="DK6" s="23">
        <f t="shared" si="13"/>
        <v>-19.428571428571445</v>
      </c>
      <c r="DL6" s="23">
        <f t="shared" si="13"/>
        <v>-17.666666666666686</v>
      </c>
      <c r="DM6" s="23">
        <f t="shared" si="13"/>
        <v>-17</v>
      </c>
      <c r="DN6" s="23">
        <f t="shared" si="13"/>
        <v>-17.25</v>
      </c>
      <c r="DO6" s="23">
        <f t="shared" si="13"/>
        <v>-16.333333333333314</v>
      </c>
      <c r="DP6" s="23">
        <f t="shared" si="13"/>
        <v>-16</v>
      </c>
      <c r="DQ6" s="23">
        <f t="shared" si="13"/>
        <v>-12</v>
      </c>
      <c r="DR6" s="23">
        <f t="shared" si="13"/>
        <v>-27.636363636363626</v>
      </c>
      <c r="DS6" s="23">
        <f t="shared" si="13"/>
        <v>-27.636363636363626</v>
      </c>
      <c r="DT6" s="23">
        <f t="shared" si="13"/>
        <v>-28.199999999999989</v>
      </c>
      <c r="DU6" s="23">
        <f t="shared" si="13"/>
        <v>-28.777777777777771</v>
      </c>
      <c r="DV6" s="23">
        <f t="shared" si="13"/>
        <v>-29.25</v>
      </c>
      <c r="DW6" s="23">
        <f t="shared" si="13"/>
        <v>-29.571428571428555</v>
      </c>
      <c r="DX6" s="23">
        <f t="shared" si="13"/>
        <v>-29.833333333333314</v>
      </c>
      <c r="DY6" s="23">
        <f t="shared" si="13"/>
        <v>-29.800000000000011</v>
      </c>
      <c r="DZ6" s="23">
        <f t="shared" si="13"/>
        <v>-29.25</v>
      </c>
      <c r="EA6" s="23">
        <f t="shared" si="13"/>
        <v>-33</v>
      </c>
      <c r="EB6" s="23">
        <f t="shared" si="13"/>
        <v>-26.5</v>
      </c>
      <c r="EC6" s="23">
        <f t="shared" si="13"/>
        <v>-21</v>
      </c>
      <c r="EE6" s="17"/>
    </row>
    <row r="7" spans="1:138" x14ac:dyDescent="0.25">
      <c r="A7" s="1" t="s">
        <v>33</v>
      </c>
      <c r="D7" s="1" t="s">
        <v>34</v>
      </c>
      <c r="E7" s="24">
        <f t="shared" ref="E7:F7" si="14">+E6*218</f>
        <v>-19111.333333333336</v>
      </c>
      <c r="F7" s="24">
        <f t="shared" si="14"/>
        <v>-18966</v>
      </c>
      <c r="G7" s="24">
        <f t="shared" ref="G7:H7" si="15">+G6*218</f>
        <v>-18893.333333333336</v>
      </c>
      <c r="H7" s="24">
        <f t="shared" si="15"/>
        <v>-18530</v>
      </c>
      <c r="I7" s="24">
        <f t="shared" ref="I7:J7" si="16">+I6*218</f>
        <v>-18602.666666666664</v>
      </c>
      <c r="J7" s="24">
        <f t="shared" si="16"/>
        <v>-19111.333333333336</v>
      </c>
      <c r="K7" s="24">
        <f t="shared" ref="K7:L7" si="17">+K6*218</f>
        <v>-19838</v>
      </c>
      <c r="L7" s="24">
        <f t="shared" si="17"/>
        <v>-20056</v>
      </c>
      <c r="M7" s="24">
        <f t="shared" ref="M7:N7" si="18">+M6*218</f>
        <v>-19038.666666666664</v>
      </c>
      <c r="N7" s="24">
        <f t="shared" si="18"/>
        <v>-17803.333333333336</v>
      </c>
      <c r="O7" s="24">
        <f t="shared" ref="O7:AL7" si="19">+O6*218</f>
        <v>-16495.333333333336</v>
      </c>
      <c r="P7" s="24">
        <f t="shared" si="19"/>
        <v>-15914</v>
      </c>
      <c r="Q7" s="91">
        <f t="shared" si="19"/>
        <v>-15478</v>
      </c>
      <c r="R7" s="83">
        <f t="shared" si="19"/>
        <v>-15260</v>
      </c>
      <c r="S7" s="83">
        <f t="shared" si="19"/>
        <v>-14751.333333333338</v>
      </c>
      <c r="T7" s="83">
        <f t="shared" si="19"/>
        <v>-14460.666666666662</v>
      </c>
      <c r="U7" s="83">
        <f t="shared" si="19"/>
        <v>-14024.666666666662</v>
      </c>
      <c r="V7" s="83">
        <f t="shared" si="19"/>
        <v>-13661.333333333338</v>
      </c>
      <c r="W7" s="83">
        <f t="shared" si="19"/>
        <v>-12789.333333333338</v>
      </c>
      <c r="X7" s="83">
        <f t="shared" si="19"/>
        <v>-12062.666666666662</v>
      </c>
      <c r="Y7" s="83">
        <f t="shared" si="19"/>
        <v>-11772</v>
      </c>
      <c r="Z7" s="97">
        <f t="shared" si="19"/>
        <v>-11554</v>
      </c>
      <c r="AA7" s="83">
        <f t="shared" si="19"/>
        <v>-19184</v>
      </c>
      <c r="AB7" s="83">
        <f t="shared" si="19"/>
        <v>-18748</v>
      </c>
      <c r="AC7" s="83">
        <f t="shared" si="19"/>
        <v>-18239.333333333336</v>
      </c>
      <c r="AD7" s="83">
        <f t="shared" si="19"/>
        <v>-17948.666666666664</v>
      </c>
      <c r="AE7" s="83">
        <f t="shared" si="19"/>
        <v>-17730.666666666664</v>
      </c>
      <c r="AF7" s="24">
        <f t="shared" si="19"/>
        <v>-17149.333333333336</v>
      </c>
      <c r="AG7" s="83">
        <f t="shared" si="19"/>
        <v>-15914</v>
      </c>
      <c r="AH7" s="83">
        <f t="shared" si="19"/>
        <v>-14896.666666666662</v>
      </c>
      <c r="AI7" s="80">
        <f t="shared" si="19"/>
        <v>-14388</v>
      </c>
      <c r="AJ7" s="24">
        <f t="shared" si="19"/>
        <v>-14315.333333333338</v>
      </c>
      <c r="AK7" s="24">
        <f t="shared" si="19"/>
        <v>-14279</v>
      </c>
      <c r="AL7" s="24">
        <f t="shared" si="19"/>
        <v>-14170</v>
      </c>
      <c r="AM7" s="24">
        <f>+AM6*192</f>
        <v>-7488</v>
      </c>
      <c r="AN7" s="24">
        <f t="shared" ref="AN7:CH7" si="20">+AN6*192</f>
        <v>-7488</v>
      </c>
      <c r="AO7" s="77">
        <f t="shared" si="20"/>
        <v>-7824</v>
      </c>
      <c r="AP7" s="24">
        <f t="shared" si="20"/>
        <v>-7824</v>
      </c>
      <c r="AQ7" s="24">
        <f t="shared" si="20"/>
        <v>-7824</v>
      </c>
      <c r="AR7" s="24">
        <f t="shared" si="20"/>
        <v>-7824</v>
      </c>
      <c r="AS7" s="24">
        <f t="shared" si="20"/>
        <v>-7632</v>
      </c>
      <c r="AT7" s="24">
        <f t="shared" si="20"/>
        <v>-7104</v>
      </c>
      <c r="AU7" s="24">
        <f t="shared" si="20"/>
        <v>-6960</v>
      </c>
      <c r="AV7" s="24">
        <f t="shared" si="20"/>
        <v>-6432</v>
      </c>
      <c r="AW7" s="24">
        <f t="shared" si="20"/>
        <v>-6096</v>
      </c>
      <c r="AX7" s="24">
        <f t="shared" si="20"/>
        <v>-5952</v>
      </c>
      <c r="AY7" s="24">
        <f t="shared" si="20"/>
        <v>-5568</v>
      </c>
      <c r="AZ7" s="24">
        <f t="shared" si="20"/>
        <v>-6000</v>
      </c>
      <c r="BA7" s="24">
        <f t="shared" si="20"/>
        <v>-6144</v>
      </c>
      <c r="BB7" s="24">
        <f t="shared" si="20"/>
        <v>-6432</v>
      </c>
      <c r="BC7" s="24">
        <f t="shared" si="20"/>
        <v>-6768</v>
      </c>
      <c r="BD7" s="24">
        <f t="shared" si="20"/>
        <v>-6384</v>
      </c>
      <c r="BE7" s="24">
        <f t="shared" si="20"/>
        <v>-6384</v>
      </c>
      <c r="BF7" s="24">
        <f t="shared" si="20"/>
        <v>-6864</v>
      </c>
      <c r="BG7" s="24">
        <f t="shared" si="20"/>
        <v>-7488</v>
      </c>
      <c r="BH7" s="24">
        <f t="shared" si="20"/>
        <v>-8064</v>
      </c>
      <c r="BI7" s="24">
        <f t="shared" si="20"/>
        <v>-8736</v>
      </c>
      <c r="BJ7" s="24">
        <f t="shared" si="20"/>
        <v>-9216</v>
      </c>
      <c r="BK7" s="24">
        <f t="shared" si="20"/>
        <v>-5019.4285714285761</v>
      </c>
      <c r="BL7" s="24">
        <f t="shared" si="20"/>
        <v>-5513.1428571428587</v>
      </c>
      <c r="BM7" s="24">
        <f t="shared" si="20"/>
        <v>-5814.8571428571413</v>
      </c>
      <c r="BN7" s="24">
        <f t="shared" si="20"/>
        <v>-6144</v>
      </c>
      <c r="BO7" s="24">
        <f t="shared" si="20"/>
        <v>-6253.7142857142826</v>
      </c>
      <c r="BP7" s="42">
        <f t="shared" si="20"/>
        <v>-6061.7142857142826</v>
      </c>
      <c r="BQ7" s="24">
        <f t="shared" si="20"/>
        <v>-6144</v>
      </c>
      <c r="BR7" s="24">
        <f t="shared" si="20"/>
        <v>-5836.7999999999956</v>
      </c>
      <c r="BS7" s="43">
        <f t="shared" si="20"/>
        <v>-5616</v>
      </c>
      <c r="BT7" s="24">
        <f t="shared" si="20"/>
        <v>-5120.0000000000036</v>
      </c>
      <c r="BU7" s="24">
        <f t="shared" si="20"/>
        <v>-4320</v>
      </c>
      <c r="BV7" s="24">
        <f t="shared" si="20"/>
        <v>-2688</v>
      </c>
      <c r="BW7" s="24">
        <f t="shared" si="20"/>
        <v>-7599.9999999999964</v>
      </c>
      <c r="BX7" s="24">
        <f t="shared" si="20"/>
        <v>-7330.9090909090919</v>
      </c>
      <c r="BY7" s="24">
        <f t="shared" si="20"/>
        <v>-7008</v>
      </c>
      <c r="BZ7" s="24">
        <f t="shared" si="20"/>
        <v>-6677.3333333333321</v>
      </c>
      <c r="CA7" s="24">
        <f t="shared" si="20"/>
        <v>-6456</v>
      </c>
      <c r="CB7" s="24">
        <f t="shared" si="20"/>
        <v>-6363.4285714285761</v>
      </c>
      <c r="CC7" s="24">
        <f t="shared" si="20"/>
        <v>-6111.9999999999964</v>
      </c>
      <c r="CD7" s="24">
        <f t="shared" si="20"/>
        <v>-5798.3999999999978</v>
      </c>
      <c r="CE7" s="24">
        <f t="shared" si="20"/>
        <v>-5376</v>
      </c>
      <c r="CF7" s="24">
        <f t="shared" si="20"/>
        <v>-5120.0000000000036</v>
      </c>
      <c r="CG7" s="24">
        <f t="shared" si="20"/>
        <v>-4992</v>
      </c>
      <c r="CH7" s="24">
        <f t="shared" si="20"/>
        <v>-4416</v>
      </c>
      <c r="CI7" s="24">
        <f t="shared" ref="CI7:EC7" si="21">+CI6*168</f>
        <v>-3136.0000000000032</v>
      </c>
      <c r="CJ7" s="24">
        <f t="shared" si="21"/>
        <v>-3268.3636363636338</v>
      </c>
      <c r="CK7" s="24">
        <f t="shared" si="21"/>
        <v>-3460.8000000000038</v>
      </c>
      <c r="CL7" s="24">
        <f t="shared" si="21"/>
        <v>-3546.6666666666624</v>
      </c>
      <c r="CM7" s="24">
        <f t="shared" si="21"/>
        <v>-3591</v>
      </c>
      <c r="CN7" s="24">
        <f t="shared" si="21"/>
        <v>-3648.0000000000014</v>
      </c>
      <c r="CO7" s="24">
        <f t="shared" si="21"/>
        <v>-3751.9999999999968</v>
      </c>
      <c r="CP7" s="24">
        <f t="shared" si="21"/>
        <v>-3998.4000000000019</v>
      </c>
      <c r="CQ7" s="24">
        <f t="shared" si="21"/>
        <v>-4158</v>
      </c>
      <c r="CR7" s="24">
        <f t="shared" si="21"/>
        <v>-3976.0000000000032</v>
      </c>
      <c r="CS7" s="24">
        <f t="shared" si="21"/>
        <v>-3444</v>
      </c>
      <c r="CT7" s="24">
        <f t="shared" si="21"/>
        <v>-3024</v>
      </c>
      <c r="CU7" s="24">
        <f t="shared" si="21"/>
        <v>-4087.9999999999968</v>
      </c>
      <c r="CV7" s="24">
        <f t="shared" si="21"/>
        <v>-4047.2727272727229</v>
      </c>
      <c r="CW7" s="24">
        <f t="shared" si="21"/>
        <v>-3981.5999999999981</v>
      </c>
      <c r="CX7" s="24">
        <f t="shared" si="21"/>
        <v>-3976.0000000000032</v>
      </c>
      <c r="CY7" s="24">
        <f t="shared" si="21"/>
        <v>-4074</v>
      </c>
      <c r="CZ7" s="24">
        <f t="shared" si="21"/>
        <v>-3984.0000000000014</v>
      </c>
      <c r="DA7" s="24">
        <f t="shared" si="21"/>
        <v>-4060.0000000000032</v>
      </c>
      <c r="DB7" s="24">
        <f t="shared" si="21"/>
        <v>-4166.4000000000015</v>
      </c>
      <c r="DC7" s="24">
        <f t="shared" si="21"/>
        <v>-4158</v>
      </c>
      <c r="DD7" s="24">
        <f t="shared" si="21"/>
        <v>-4144.0000000000036</v>
      </c>
      <c r="DE7" s="24">
        <f t="shared" si="21"/>
        <v>-4368</v>
      </c>
      <c r="DF7" s="24">
        <f t="shared" si="21"/>
        <v>-4032</v>
      </c>
      <c r="DG7" s="24">
        <f t="shared" si="21"/>
        <v>-3100.3636363636338</v>
      </c>
      <c r="DH7" s="24">
        <f t="shared" si="21"/>
        <v>-3242.4000000000019</v>
      </c>
      <c r="DI7" s="24">
        <f t="shared" si="21"/>
        <v>-3322.6666666666656</v>
      </c>
      <c r="DJ7" s="24">
        <f t="shared" si="21"/>
        <v>-3318</v>
      </c>
      <c r="DK7" s="24">
        <f t="shared" si="21"/>
        <v>-3264.0000000000027</v>
      </c>
      <c r="DL7" s="24">
        <f t="shared" si="21"/>
        <v>-2968.0000000000032</v>
      </c>
      <c r="DM7" s="24">
        <f t="shared" si="21"/>
        <v>-2856</v>
      </c>
      <c r="DN7" s="24">
        <f t="shared" si="21"/>
        <v>-2898</v>
      </c>
      <c r="DO7" s="24">
        <f t="shared" si="21"/>
        <v>-2743.9999999999968</v>
      </c>
      <c r="DP7" s="24">
        <f t="shared" si="21"/>
        <v>-2688</v>
      </c>
      <c r="DQ7" s="24">
        <f t="shared" si="21"/>
        <v>-2016</v>
      </c>
      <c r="DR7" s="24">
        <f t="shared" si="21"/>
        <v>-4642.9090909090892</v>
      </c>
      <c r="DS7" s="24">
        <f t="shared" si="21"/>
        <v>-4642.9090909090892</v>
      </c>
      <c r="DT7" s="24">
        <f t="shared" si="21"/>
        <v>-4737.5999999999985</v>
      </c>
      <c r="DU7" s="24">
        <f t="shared" si="21"/>
        <v>-4834.6666666666661</v>
      </c>
      <c r="DV7" s="24">
        <f t="shared" si="21"/>
        <v>-4914</v>
      </c>
      <c r="DW7" s="24">
        <f t="shared" si="21"/>
        <v>-4967.9999999999973</v>
      </c>
      <c r="DX7" s="24">
        <f t="shared" si="21"/>
        <v>-5011.9999999999964</v>
      </c>
      <c r="DY7" s="24">
        <f t="shared" si="21"/>
        <v>-5006.4000000000015</v>
      </c>
      <c r="DZ7" s="24">
        <f t="shared" si="21"/>
        <v>-4914</v>
      </c>
      <c r="EA7" s="24">
        <f t="shared" si="21"/>
        <v>-5544</v>
      </c>
      <c r="EB7" s="24">
        <f t="shared" si="21"/>
        <v>-4452</v>
      </c>
      <c r="EC7" s="24">
        <f t="shared" si="21"/>
        <v>-3528</v>
      </c>
    </row>
    <row r="8" spans="1:13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76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7"/>
      <c r="BE8" s="17"/>
      <c r="BF8" s="17"/>
      <c r="BG8" s="17"/>
      <c r="BH8" s="15"/>
      <c r="BI8" s="17"/>
      <c r="BJ8" s="17"/>
      <c r="BK8" s="17"/>
      <c r="BL8" s="17"/>
      <c r="BM8" s="17"/>
      <c r="BN8" s="14"/>
      <c r="BO8" s="16"/>
      <c r="BP8" s="1"/>
      <c r="BQ8" s="1"/>
      <c r="BS8" s="37"/>
    </row>
    <row r="9" spans="1:138" x14ac:dyDescent="0.25">
      <c r="A9" s="75" t="s">
        <v>35</v>
      </c>
      <c r="D9" s="1" t="s">
        <v>36</v>
      </c>
      <c r="E9" s="25">
        <f>114538.5-62962.41-19212.5-16154</f>
        <v>16209.589999999997</v>
      </c>
      <c r="F9" s="25">
        <f>112053.37-62458.25-18900-16154</f>
        <v>14541.119999999995</v>
      </c>
      <c r="G9" s="25">
        <f>108234.87-61294.27-18512.5-16154</f>
        <v>12274.099999999999</v>
      </c>
      <c r="H9" s="25">
        <f>104331.73-59640.61-18062.5-16154</f>
        <v>10474.619999999995</v>
      </c>
      <c r="I9" s="25">
        <f>101236.18-58128.12-17225-16154</f>
        <v>9729.0599999999904</v>
      </c>
      <c r="J9" s="25">
        <f>97443.76-55821.8-16400-16154</f>
        <v>9067.9599999999919</v>
      </c>
      <c r="K9" s="25">
        <f>92589.29-53952.82-16137.5-15925</f>
        <v>6573.9699999999939</v>
      </c>
      <c r="L9" s="25">
        <f>73821.2-50584.99-15150-4311</f>
        <v>3775.2099999999991</v>
      </c>
      <c r="M9" s="25">
        <f>61818.93-46087.83-13400-0</f>
        <v>2331.0999999999985</v>
      </c>
      <c r="N9" s="25">
        <f>54430.63-41199.5-11887.5-0</f>
        <v>1343.6299999999974</v>
      </c>
      <c r="O9" s="25">
        <f>152011.2-63440.08-18525-40978</f>
        <v>29068.12000000001</v>
      </c>
      <c r="P9" s="25">
        <f>148828.41-63185.73-18037.5-40373</f>
        <v>27232.179999999993</v>
      </c>
      <c r="Q9" s="92">
        <f>143441.49-63094.89-18025-35565</f>
        <v>26756.599999999991</v>
      </c>
      <c r="R9" s="45">
        <f>137887.65-62822.39-17925-35565</f>
        <v>21575.259999999995</v>
      </c>
      <c r="S9" s="45">
        <f>132670.42-61423.4-17662.5-35565</f>
        <v>18019.520000000019</v>
      </c>
      <c r="T9" s="45">
        <f>125153-59279.73-16875-35565</f>
        <v>13433.26999999999</v>
      </c>
      <c r="U9" s="45">
        <f>120943.04-58135.24-16175-35565</f>
        <v>11067.799999999996</v>
      </c>
      <c r="V9" s="45">
        <f>117753.54-56602.56-15412.5-35381</f>
        <v>10357.479999999996</v>
      </c>
      <c r="W9" s="45">
        <f>97078.39-55210.38-15062.5-11784</f>
        <v>15021.510000000002</v>
      </c>
      <c r="X9" s="45">
        <f>100715.68-77376.26-15362.5-0</f>
        <v>7976.9199999999983</v>
      </c>
      <c r="Y9" s="45">
        <f>93347.26-73997.26-14112.5-0</f>
        <v>5237.5</v>
      </c>
      <c r="Z9" s="45">
        <f>85269.27-69266.44-12650-0</f>
        <v>3352.8300000000017</v>
      </c>
      <c r="AA9" s="45">
        <f>127418.29-53683.65-17825-19732</f>
        <v>36177.639999999985</v>
      </c>
      <c r="AB9" s="45">
        <f>123459.28-53347.65-17825-19299</f>
        <v>32987.630000000005</v>
      </c>
      <c r="AC9" s="45">
        <f>118135.48-53147.8-17775-15915</f>
        <v>31297.679999999993</v>
      </c>
      <c r="AD9" s="45">
        <f>111887.73-52857.13-17637.5-15915</f>
        <v>25478.1</v>
      </c>
      <c r="AE9" s="45">
        <f>102504.29-52112.29-17300-15915</f>
        <v>17176.999999999993</v>
      </c>
      <c r="AF9" s="45">
        <f>98487.9-50604.45-16787.5-15915</f>
        <v>15180.949999999997</v>
      </c>
      <c r="AG9" s="45">
        <f>94632.81-49150.51-15875-15915</f>
        <v>13692.299999999996</v>
      </c>
      <c r="AH9" s="45">
        <f>90361.96-47565.34-15162.5-15915</f>
        <v>11719.12000000001</v>
      </c>
      <c r="AI9" s="45">
        <f>86769.41-46166.51-15012.5-15915</f>
        <v>9675.4000000000015</v>
      </c>
      <c r="AJ9" s="45">
        <f>71976.42-43278.01-13987.5-6780</f>
        <v>7930.9099999999962</v>
      </c>
      <c r="AK9" s="45">
        <f>58914.62-40800.35-13637.5-0</f>
        <v>4476.7700000000041</v>
      </c>
      <c r="AL9" s="45">
        <f>51255.27-36316.34-12312.5-0</f>
        <v>2626.4300000000003</v>
      </c>
      <c r="AM9" s="45">
        <f>135440.58-60129.91-22537.5-25554</f>
        <v>27219.169999999984</v>
      </c>
      <c r="AN9" s="45">
        <f>133657.88-59937.91-22387.5-25401</f>
        <v>25931.47</v>
      </c>
      <c r="AO9" s="45">
        <f>126840.28-59745.91-22362.5-19677</f>
        <v>25054.869999999995</v>
      </c>
      <c r="AP9" s="45">
        <f>123744.26-59345.91-22262.5-19377</f>
        <v>22758.849999999991</v>
      </c>
      <c r="AQ9" s="45">
        <f>96019.13-46916.5-10512.5-19377</f>
        <v>19213.130000000005</v>
      </c>
      <c r="AR9" s="45">
        <f>93685.95-46596.5-10512.5-19377</f>
        <v>17199.949999999997</v>
      </c>
      <c r="AS9" s="45">
        <f>87917.28-42980.5-10512.5-19377</f>
        <v>15047.279999999999</v>
      </c>
      <c r="AT9" s="45">
        <f>85737.49-42756.5-10362.5-19377</f>
        <v>13241.490000000005</v>
      </c>
      <c r="AU9" s="45">
        <f>82602.49-40579.33-10362.5-20038</f>
        <v>11622.660000000003</v>
      </c>
      <c r="AV9" s="45">
        <f>64948.22-40195.33-10362.5-6194</f>
        <v>8196.39</v>
      </c>
      <c r="AW9" s="45">
        <f>56574.79-40065.83-10362.5-0</f>
        <v>6146.4599999999991</v>
      </c>
      <c r="AX9" s="45">
        <f>53110.31-39662.17-10212.5-0</f>
        <v>3235.6399999999994</v>
      </c>
      <c r="AY9" s="45">
        <f>140839.18-61188.17-22112.5-17209.5</f>
        <v>40329.009999999995</v>
      </c>
      <c r="AZ9" s="45">
        <f>135643.29-59956.17-21925-16803.5</f>
        <v>36958.62000000001</v>
      </c>
      <c r="BA9" s="45">
        <f>129605.21-59860.17-21925-13399.5</f>
        <v>34420.540000000008</v>
      </c>
      <c r="BB9" s="45">
        <f>120415.64-59284.17-21787.5-12949.5</f>
        <v>26394.47</v>
      </c>
      <c r="BC9" s="45">
        <f>113827.9-58674.67-21437.5-12949.5</f>
        <v>20766.229999999996</v>
      </c>
      <c r="BD9" s="45">
        <f>109455.3-57938.67-21212.5-12949.5</f>
        <v>17354.630000000005</v>
      </c>
      <c r="BE9" s="45">
        <f>104933.41-56738.67-20262.5-12949.5</f>
        <v>14982.740000000005</v>
      </c>
      <c r="BF9" s="45">
        <f>101048.75-55378.67-19662.5-12949.5</f>
        <v>13058.080000000002</v>
      </c>
      <c r="BG9" s="45">
        <f>95806.56-54098.67-18887.5-13014</f>
        <v>9806.39</v>
      </c>
      <c r="BH9" s="45">
        <f>81144.43-52498.67-18150-2073</f>
        <v>8422.7599999999948</v>
      </c>
      <c r="BI9" s="45">
        <f>69786.97-48718.17-16912.5-0</f>
        <v>4156.3000000000029</v>
      </c>
      <c r="BJ9" s="45">
        <f>55961.81-42379.83-11800-0</f>
        <v>1781.9799999999959</v>
      </c>
      <c r="BK9" s="45">
        <f>138799.03-64867.67-21912.5-17986</f>
        <v>34032.86</v>
      </c>
      <c r="BL9" s="45">
        <f>133534.81-64755.67-21537.5-16564</f>
        <v>30677.64</v>
      </c>
      <c r="BM9" s="45">
        <f>126103.4-64323.67-21412.5-11643</f>
        <v>28724.229999999996</v>
      </c>
      <c r="BN9" s="45">
        <f>118942.92-63907.67-21262.5-10851</f>
        <v>22921.75</v>
      </c>
      <c r="BO9" s="45">
        <f>112645.56-63250.17-21062.5-10851</f>
        <v>17481.89</v>
      </c>
      <c r="BP9" s="25">
        <f>105714.78-61650.17-20562.5-10851</f>
        <v>12651.11</v>
      </c>
      <c r="BQ9" s="25">
        <f>(101207.39-59922.17-20000-10851)</f>
        <v>10434.220000000001</v>
      </c>
      <c r="BR9" s="25">
        <f>(96736.21-58194.17-18837.5-10851)</f>
        <v>8853.5400000000081</v>
      </c>
      <c r="BS9" s="47">
        <f>(90616.76-55874.17-18237.5 -9511)</f>
        <v>6994.0899999999965</v>
      </c>
      <c r="BT9" s="25">
        <f>(85270.86-52956.17-17575-9298)</f>
        <v>5441.6900000000023</v>
      </c>
      <c r="BU9" s="25">
        <f>(78275.58-49836.17-16250-8497)</f>
        <v>3692.4100000000035</v>
      </c>
      <c r="BV9" s="25">
        <f>(67368.02-45912.67-14975-3559)</f>
        <v>2921.3500000000058</v>
      </c>
      <c r="BW9" s="25">
        <f>(137306.14-67877.92-20200-30214)</f>
        <v>19014.220000000016</v>
      </c>
      <c r="BX9" s="25">
        <f>(136448.28-67877.92-20200-30114)</f>
        <v>18256.36</v>
      </c>
      <c r="BY9" s="25">
        <f>(134507.89-67669.92-20125-30114)</f>
        <v>16598.970000000016</v>
      </c>
      <c r="BZ9" s="25">
        <f>(132419.84-67269.92-20000-30114)</f>
        <v>15035.919999999998</v>
      </c>
      <c r="CA9" s="25">
        <f>(130087.57-66753.17-19687.5-30114)</f>
        <v>13532.900000000009</v>
      </c>
      <c r="CB9" s="25">
        <f>(127052.36-65745.17-19381.63-30114)</f>
        <v>11811.559999999998</v>
      </c>
      <c r="CC9" s="25">
        <f>(123915.64-30114-18875-64465.17)</f>
        <v>10461.470000000001</v>
      </c>
      <c r="CD9" s="25">
        <f>(119400.68-30114-17675-62689.17)</f>
        <v>8922.5099999999948</v>
      </c>
      <c r="CE9" s="25">
        <f>(115089.98-30114-16637.5-60369.17)</f>
        <v>7969.3099999999977</v>
      </c>
      <c r="CF9" s="25">
        <f>(104401.99-24697-15950-57627.17)</f>
        <v>6127.820000000007</v>
      </c>
      <c r="CG9" s="25">
        <f>(77385.8-5317-14845.47-52892.33)</f>
        <v>4331</v>
      </c>
      <c r="CH9" s="25">
        <f>(62340.33-13675-46824.33)</f>
        <v>1841</v>
      </c>
      <c r="CI9" s="25">
        <f>(154801.49-68573.91-39133-19800)</f>
        <v>27294.579999999987</v>
      </c>
      <c r="CJ9" s="25">
        <f>(153315.22-68538.91-39133-19950)</f>
        <v>25693.309999999998</v>
      </c>
      <c r="CK9" s="25">
        <f>(151296.12-68272.91-39133-19762.5)</f>
        <v>24127.709999999992</v>
      </c>
      <c r="CL9" s="25">
        <f>(147112.31-67824.91-39133-19550)</f>
        <v>20604.399999999994</v>
      </c>
      <c r="CM9" s="25">
        <f>(142407.77-39133-66893.91-19387.5)</f>
        <v>16993.359999999986</v>
      </c>
      <c r="CN9" s="25">
        <f>(139856.59-39133-66263.91-19062.5)</f>
        <v>15397.179999999993</v>
      </c>
      <c r="CO9" s="25">
        <f>(136007.43-39133-64842.16-18587.5)</f>
        <v>13444.76999999999</v>
      </c>
      <c r="CP9" s="25">
        <f>(131771.28-63099-39133-17437.5)</f>
        <v>12101.779999999999</v>
      </c>
      <c r="CQ9" s="25">
        <f>(125494.11-39091-60656.16-16737.5)</f>
        <v>9009.4499999999971</v>
      </c>
      <c r="CR9" s="25">
        <f>(111292.57-57086.5-15950-31766)</f>
        <v>6490.070000000007</v>
      </c>
      <c r="CS9" s="25">
        <f>(80242.26-8204-15400-52420.59)</f>
        <v>4217.6699999999983</v>
      </c>
      <c r="CT9" s="25">
        <f>(64009.71-13787.5-47447.59)</f>
        <v>2774.6200000000026</v>
      </c>
      <c r="CU9" s="8">
        <v>31472.04</v>
      </c>
      <c r="CV9" s="8">
        <v>30311.14</v>
      </c>
      <c r="CW9" s="8">
        <v>28557.37</v>
      </c>
      <c r="CX9" s="8">
        <v>27103.56</v>
      </c>
      <c r="CY9" s="8">
        <v>24629.8</v>
      </c>
      <c r="CZ9" s="48">
        <f>152288.03-70003.48-19432.5-39847</f>
        <v>23005.050000000003</v>
      </c>
      <c r="DA9" s="48">
        <f>147875.59-39847-68561.48-18545</f>
        <v>20922.11</v>
      </c>
      <c r="DB9" s="48">
        <f>137852.19-67063.48-17420-36040</f>
        <v>17328.710000000006</v>
      </c>
      <c r="DC9" s="48">
        <f>127375.56-29573-65297.23-17057.5</f>
        <v>15447.829999999994</v>
      </c>
      <c r="DD9" s="48">
        <f>100592.34-62570.56-16307.5-8244</f>
        <v>13470.279999999999</v>
      </c>
      <c r="DE9" s="48">
        <f>80791.57-56664.15-15745</f>
        <v>8382.4200000000055</v>
      </c>
      <c r="DF9" s="48">
        <f>70654.5-14395-50670.65</f>
        <v>5588.8499999999985</v>
      </c>
      <c r="DG9" s="48">
        <f>186541.69-50742-73758.84-21200</f>
        <v>40840.850000000006</v>
      </c>
      <c r="DH9" s="48">
        <f>179593.44-50742-73555.84-21187.5</f>
        <v>34108.100000000006</v>
      </c>
      <c r="DI9" s="48">
        <f>168214.77-73037.84-21062.5-50742</f>
        <v>23372.429999999993</v>
      </c>
      <c r="DJ9" s="48">
        <f>165275.02-50742-72421.84-20762.5</f>
        <v>21348.679999999993</v>
      </c>
      <c r="DK9" s="48">
        <f>161997.84-50677-20625-71189.84</f>
        <v>19506</v>
      </c>
      <c r="DL9" s="48">
        <f>158489.58-50677-69999.84-19787.5</f>
        <v>18025.239999999991</v>
      </c>
      <c r="DM9" s="48">
        <f>152773.52-18587.5-68899.94-49811</f>
        <v>15475.079999999987</v>
      </c>
      <c r="DN9" s="48">
        <f>142850.75-43480-66953.84-18050</f>
        <v>14366.910000000003</v>
      </c>
      <c r="DO9" s="48">
        <f>117858.96-25433-64007.84-17262.5</f>
        <v>11155.62000000001</v>
      </c>
      <c r="DP9" s="48">
        <f>103380.46-19355-60530.17-16575</f>
        <v>6920.2900000000081</v>
      </c>
      <c r="DQ9" s="48">
        <f>91409.49-17515-53484.25-14875</f>
        <v>5535.2400000000052</v>
      </c>
      <c r="EH9" s="1" t="s">
        <v>37</v>
      </c>
    </row>
    <row r="10" spans="1:138" x14ac:dyDescent="0.25">
      <c r="A10" s="75" t="s">
        <v>38</v>
      </c>
      <c r="D10" s="1" t="s">
        <v>39</v>
      </c>
      <c r="E10" s="26">
        <f>(164303-8040-24000-23806)/12*10</f>
        <v>90380.833333333343</v>
      </c>
      <c r="F10" s="26">
        <f>(164303-8040-24000-23806)/12*9</f>
        <v>81342.75</v>
      </c>
      <c r="G10" s="26">
        <f>(164303-8040-24000-23806)/12*8</f>
        <v>72304.666666666672</v>
      </c>
      <c r="H10" s="26">
        <f>(164303-8040-24000-23806)/12*7</f>
        <v>63266.583333333336</v>
      </c>
      <c r="I10" s="26">
        <f>(164303-8040-24000-23806)/12*6</f>
        <v>54228.5</v>
      </c>
      <c r="J10" s="26">
        <f>(164303-8040-24000-23806)/12*5</f>
        <v>45190.416666666672</v>
      </c>
      <c r="K10" s="26">
        <f>(164303-8040-24000-23806)/12*4</f>
        <v>36152.333333333336</v>
      </c>
      <c r="L10" s="26">
        <f>(164303-8040-24000-23806)/12*3</f>
        <v>27114.25</v>
      </c>
      <c r="M10" s="26">
        <f>(164303-8040-24000-23806)/12*2</f>
        <v>18076.166666666668</v>
      </c>
      <c r="N10" s="26">
        <f>(164303-8040-24000-23806)/12*1</f>
        <v>9038.0833333333339</v>
      </c>
      <c r="O10" s="26">
        <f>(165901-74055-20000-46731)/12*12</f>
        <v>25115</v>
      </c>
      <c r="P10" s="26">
        <f>(165901-74055-20000-46731)/12*11</f>
        <v>23022.083333333332</v>
      </c>
      <c r="Q10" s="93">
        <f>(165901-74055-20000-46731)/12*10</f>
        <v>20929.166666666664</v>
      </c>
      <c r="R10" s="50">
        <f>(165901-74055-20000-46731)/12*9</f>
        <v>18836.25</v>
      </c>
      <c r="S10" s="50">
        <f>(165901-74055-20000-46731)/12*8</f>
        <v>16743.333333333332</v>
      </c>
      <c r="T10" s="50">
        <f>(165901-74055-20000-46731)/12*7</f>
        <v>14650.416666666666</v>
      </c>
      <c r="U10" s="50">
        <f>(165901-74055-20000-46731)/12*6</f>
        <v>12557.5</v>
      </c>
      <c r="V10" s="50">
        <f>(165901-74055-20000-46731)/12*5</f>
        <v>10464.583333333332</v>
      </c>
      <c r="W10" s="50">
        <f>(165901-74055-20000-46731)/12*4</f>
        <v>8371.6666666666661</v>
      </c>
      <c r="X10" s="50">
        <f>(165901-74055-20000-46731)/12*3</f>
        <v>6278.75</v>
      </c>
      <c r="Y10" s="50">
        <f>(165901-74055-20000-46731)/12*2</f>
        <v>4185.833333333333</v>
      </c>
      <c r="Z10" s="50">
        <f>(165901-74055-20000-46731)/12*1</f>
        <v>2092.9166666666665</v>
      </c>
      <c r="AA10" s="50">
        <f>(165901-74055-20000-46731)/12*12</f>
        <v>25115</v>
      </c>
      <c r="AB10" s="50">
        <f>(165901-74055-20000-46731)/12*11</f>
        <v>23022.083333333332</v>
      </c>
      <c r="AC10" s="50">
        <f>(165901-74055-20000-46731)/12*10</f>
        <v>20929.166666666664</v>
      </c>
      <c r="AD10" s="50">
        <f>(165901-74055-20000-46731)/12*9</f>
        <v>18836.25</v>
      </c>
      <c r="AE10" s="50">
        <f>(165901-74055-20000-46731)/12*8</f>
        <v>16743.333333333332</v>
      </c>
      <c r="AF10" s="50">
        <f>(165901-74055-20000-46731)/12*7</f>
        <v>14650.416666666666</v>
      </c>
      <c r="AG10" s="50">
        <f>(165901-74055-20000-46731)/12*6</f>
        <v>12557.5</v>
      </c>
      <c r="AH10" s="50">
        <f>(165901-74055-20000-46731)/12*5</f>
        <v>10464.583333333332</v>
      </c>
      <c r="AI10" s="50">
        <f>(165901-74055-20000-46731)/12*4</f>
        <v>8371.6666666666661</v>
      </c>
      <c r="AJ10" s="50">
        <f>(165901-74055-20000-46731)/12*3</f>
        <v>6278.75</v>
      </c>
      <c r="AK10" s="50">
        <f>(165901-74055-20000-46731)/12*2</f>
        <v>4185.833333333333</v>
      </c>
      <c r="AL10" s="50">
        <f>(165901-74055-20000-46731)/12*1</f>
        <v>2092.9166666666665</v>
      </c>
      <c r="AM10" s="50">
        <f>(165901-74055-20000-46731)/12*12</f>
        <v>25115</v>
      </c>
      <c r="AN10" s="50">
        <f>(165901-74055-20000-46731)/12*11</f>
        <v>23022.083333333332</v>
      </c>
      <c r="AO10" s="50">
        <f>(165901-74055-20000-46731)/12*10</f>
        <v>20929.166666666664</v>
      </c>
      <c r="AP10" s="50">
        <f>(165901-74055-20000-46731)/12*9</f>
        <v>18836.25</v>
      </c>
      <c r="AQ10" s="50">
        <f>(165901-74055-20000-46731)/12*8</f>
        <v>16743.333333333332</v>
      </c>
      <c r="AR10" s="50">
        <f>(165901-74055-20000-46731)/12*7</f>
        <v>14650.416666666666</v>
      </c>
      <c r="AS10" s="50">
        <f>(165901-74055-20000-46731)/12*6</f>
        <v>12557.5</v>
      </c>
      <c r="AT10" s="50">
        <f>(165901-74055-20000-46731)/12*5</f>
        <v>10464.583333333332</v>
      </c>
      <c r="AU10" s="50">
        <f>(165901-74055-20000-46731)/12*4</f>
        <v>8371.6666666666661</v>
      </c>
      <c r="AV10" s="50">
        <f>(165901-74055-20000-46731)/12*3</f>
        <v>6278.75</v>
      </c>
      <c r="AW10" s="50">
        <f>(165901-74055-20000-46731)/12*2</f>
        <v>4185.833333333333</v>
      </c>
      <c r="AX10" s="50">
        <f>(165901-74055-20000-46731)/12*1</f>
        <v>2092.9166666666665</v>
      </c>
      <c r="AY10" s="50">
        <f>(165901-74055-20000-46731)/12*12</f>
        <v>25115</v>
      </c>
      <c r="AZ10" s="50">
        <f>(165901-74055-20000-46731)/12*11</f>
        <v>23022.083333333332</v>
      </c>
      <c r="BA10" s="50">
        <f>(165901-74055-20000-46731)/12*10</f>
        <v>20929.166666666664</v>
      </c>
      <c r="BB10" s="50">
        <f>(165901-74055-20000-46731)/12*9</f>
        <v>18836.25</v>
      </c>
      <c r="BC10" s="50">
        <f>(165901-74055-20000-46731)/12*8</f>
        <v>16743.333333333332</v>
      </c>
      <c r="BD10" s="50">
        <f>(165901-74055-20000-46731)/12*7</f>
        <v>14650.416666666666</v>
      </c>
      <c r="BE10" s="50">
        <f>(165901-74055-20000-46731)/12*6</f>
        <v>12557.5</v>
      </c>
      <c r="BF10" s="50">
        <f>(165901-74055-20000-46731)/12*5</f>
        <v>10464.583333333332</v>
      </c>
      <c r="BG10" s="50">
        <f>(165901-74055-20000-46731)/12*4</f>
        <v>8371.6666666666661</v>
      </c>
      <c r="BH10" s="50">
        <f>(165901-74055-20000-46731)/12*3</f>
        <v>6278.75</v>
      </c>
      <c r="BI10" s="50">
        <f>(165901-74055-20000-46731)/12*2</f>
        <v>4185.833333333333</v>
      </c>
      <c r="BJ10" s="50">
        <f>(165901-74055-20000-46731)/12*1</f>
        <v>2092.9166666666665</v>
      </c>
      <c r="BK10" s="50">
        <f>(165901-74055-20000-46731)/12*12</f>
        <v>25115</v>
      </c>
      <c r="BL10" s="50">
        <f>(165901-74055-20000-46731)/12*11</f>
        <v>23022.083333333332</v>
      </c>
      <c r="BM10" s="50">
        <f>(165901-74055-20000-46731)/12*10</f>
        <v>20929.166666666664</v>
      </c>
      <c r="BN10" s="50">
        <f>(165901-74055-20000-46731)/12*9</f>
        <v>18836.25</v>
      </c>
      <c r="BO10" s="50">
        <f>(165901-74055-20000-46731)/12*8</f>
        <v>16743.333333333332</v>
      </c>
      <c r="BP10" s="26">
        <f>(165901-74055-20000-46731)/12*7</f>
        <v>14650.416666666666</v>
      </c>
      <c r="BQ10" s="26">
        <f>(165901-74055-20000-46731)/12*6</f>
        <v>12557.5</v>
      </c>
      <c r="BR10" s="26">
        <f>(165901-74055-20000-46731)/12*5</f>
        <v>10464.583333333332</v>
      </c>
      <c r="BS10" s="52">
        <f>(165901-74055-20000-46731)/12*4</f>
        <v>8371.6666666666661</v>
      </c>
      <c r="BT10" s="26">
        <f>(165901-74055-20000-46731)/12*3</f>
        <v>6278.75</v>
      </c>
      <c r="BU10" s="26">
        <f>(165901-74055-20000-46731)/12*2</f>
        <v>4185.833333333333</v>
      </c>
      <c r="BV10" s="26">
        <f>(165901-74055-20000-46731)/12*1</f>
        <v>2092.9166666666665</v>
      </c>
      <c r="BW10" s="26">
        <f>(173742-84165-20000-44486)/12*12</f>
        <v>25091</v>
      </c>
      <c r="BX10" s="26">
        <f>(173742-84165-20000-44486)/12*11</f>
        <v>23000.083333333332</v>
      </c>
      <c r="BY10" s="26">
        <f>(173742-84165-20000-44486)/12*10</f>
        <v>20909.166666666664</v>
      </c>
      <c r="BZ10" s="26">
        <f>(173742-84165-20000-44486)/12*9</f>
        <v>18818.25</v>
      </c>
      <c r="CA10" s="26">
        <f>(173742-84165-20000-44486)/12*8</f>
        <v>16727.333333333332</v>
      </c>
      <c r="CB10" s="26">
        <f>(173742-84165-20000-44486)/12*7</f>
        <v>14636.416666666666</v>
      </c>
      <c r="CC10" s="26">
        <f>(173742-84165-20000-44486)/12*6</f>
        <v>12545.5</v>
      </c>
      <c r="CD10" s="26">
        <f>(173742-84165-20000-44486)/12*5</f>
        <v>10454.583333333332</v>
      </c>
      <c r="CE10" s="26">
        <f>(173742-84165-20000-44486)/12*4</f>
        <v>8363.6666666666661</v>
      </c>
      <c r="CF10" s="26">
        <f>(173742-84165-20000-44486)/12*3</f>
        <v>6272.75</v>
      </c>
      <c r="CG10" s="26">
        <f>(173742-84165-20000-44486)/12*2</f>
        <v>4181.833333333333</v>
      </c>
      <c r="CH10" s="26">
        <f>(173742-84165-20000-44486)/12*1</f>
        <v>2090.9166666666665</v>
      </c>
      <c r="CI10" s="26">
        <f>(161708-73902-42162-20000)/12*12</f>
        <v>25644</v>
      </c>
      <c r="CJ10" s="26">
        <f>(161708-73902-42162-20000)/12*11</f>
        <v>23507</v>
      </c>
      <c r="CK10" s="26">
        <f>(161708-73902-42162-20000)/12*10</f>
        <v>21370</v>
      </c>
      <c r="CL10" s="26">
        <f>(161708-73902-42162-20000)/12*9</f>
        <v>19233</v>
      </c>
      <c r="CM10" s="26">
        <f>(161708-73902-42162-20000)/12*8</f>
        <v>17096</v>
      </c>
      <c r="CN10" s="26">
        <f>(161708-73902-42162-20000)/12*7</f>
        <v>14959</v>
      </c>
      <c r="CO10" s="26">
        <f>(161708-73902-42162-20000)/12*6</f>
        <v>12822</v>
      </c>
      <c r="CP10" s="26">
        <f>(161708-73902-42162-20000)/12*5</f>
        <v>10685</v>
      </c>
      <c r="CQ10" s="26">
        <f>(161708-73902-42162-20000)/12*4</f>
        <v>8548</v>
      </c>
      <c r="CR10" s="26">
        <f>(161708-73902-42162-20000)/12*3</f>
        <v>6411</v>
      </c>
      <c r="CS10" s="26">
        <f>(161708-73902-42162-20000)/12*2</f>
        <v>4274</v>
      </c>
      <c r="CT10" s="26">
        <f>(161708-73902-42162-20000)/12*1</f>
        <v>2137</v>
      </c>
      <c r="CU10" s="53">
        <f>(174743-45101-78942-20000)/12*12</f>
        <v>30700</v>
      </c>
      <c r="CV10" s="53">
        <f>(174743-45101-78942-20000)/12*11</f>
        <v>28141.666666666668</v>
      </c>
      <c r="CW10" s="53">
        <f>(174743-45101-78942-20000)/12*10</f>
        <v>25583.333333333336</v>
      </c>
      <c r="CX10" s="53">
        <f>(174743-45101-78942-20000)/12*9</f>
        <v>23025</v>
      </c>
      <c r="CY10" s="53">
        <f>(174743-45101-78942-20000)/12*8</f>
        <v>20466.666666666668</v>
      </c>
      <c r="CZ10" s="48">
        <f>(174743-45101-78942-20000)/12*7</f>
        <v>17908.333333333336</v>
      </c>
      <c r="DA10" s="48">
        <f>(174743-45101-78942-20000)/12*6</f>
        <v>15350</v>
      </c>
      <c r="DB10" s="48">
        <f>(174743-45101-78942-20000)/12*5</f>
        <v>12791.666666666668</v>
      </c>
      <c r="DC10" s="48">
        <f>(174743-45101-78942-20000)/12*4</f>
        <v>10233.333333333334</v>
      </c>
      <c r="DD10" s="48">
        <f>(174743-45101-78942-20000)/12*3</f>
        <v>7675</v>
      </c>
      <c r="DE10" s="48">
        <f>(174743-45101-78942-20000)/12*2</f>
        <v>5116.666666666667</v>
      </c>
      <c r="DF10" s="48">
        <f>(174743-45101-78942-20000)/12</f>
        <v>2558.3333333333335</v>
      </c>
      <c r="DG10" s="48">
        <f>(58217-18000)/12*11</f>
        <v>36865.583333333328</v>
      </c>
      <c r="DH10" s="48">
        <f>(58217-18000)/12*10</f>
        <v>33514.166666666664</v>
      </c>
      <c r="DI10" s="48">
        <f>(58217-18000)/12*9</f>
        <v>30162.75</v>
      </c>
      <c r="DJ10" s="48">
        <f>(58217-18000)/12*8</f>
        <v>26811.333333333332</v>
      </c>
      <c r="DK10" s="48">
        <f>(58217-18000)/12*7</f>
        <v>23459.916666666664</v>
      </c>
      <c r="DL10" s="48">
        <f>(58217-18000)/12*6</f>
        <v>20108.5</v>
      </c>
      <c r="DM10" s="48">
        <f>(58217-18000)/12*5</f>
        <v>16757.083333333332</v>
      </c>
      <c r="DN10" s="48">
        <f>(58217-18000)/12*4</f>
        <v>13405.666666666666</v>
      </c>
      <c r="DO10" s="48">
        <f>(58217-18000)/12*3</f>
        <v>10054.25</v>
      </c>
      <c r="DP10" s="48">
        <f>(58217-18000)/12*2</f>
        <v>6702.833333333333</v>
      </c>
      <c r="DQ10" s="48">
        <f>(58217-18000)/12</f>
        <v>3351.4166666666665</v>
      </c>
    </row>
    <row r="11" spans="1:138" x14ac:dyDescent="0.25">
      <c r="D11" s="1" t="s">
        <v>40</v>
      </c>
      <c r="E11" s="24">
        <f t="shared" ref="E11:F11" si="22">+E9-E10</f>
        <v>-74171.243333333347</v>
      </c>
      <c r="F11" s="24">
        <f t="shared" si="22"/>
        <v>-66801.63</v>
      </c>
      <c r="G11" s="24">
        <f t="shared" ref="G11:H11" si="23">+G9-G10</f>
        <v>-60030.566666666673</v>
      </c>
      <c r="H11" s="24">
        <f t="shared" si="23"/>
        <v>-52791.96333333334</v>
      </c>
      <c r="I11" s="24">
        <f t="shared" ref="I11:J11" si="24">+I9-I10</f>
        <v>-44499.44000000001</v>
      </c>
      <c r="J11" s="24">
        <f t="shared" si="24"/>
        <v>-36122.45666666668</v>
      </c>
      <c r="K11" s="24">
        <f t="shared" ref="K11:L11" si="25">+K9-K10</f>
        <v>-29578.363333333342</v>
      </c>
      <c r="L11" s="24">
        <f t="shared" si="25"/>
        <v>-23339.040000000001</v>
      </c>
      <c r="M11" s="24">
        <f t="shared" ref="M11:N11" si="26">+M9-M10</f>
        <v>-15745.066666666669</v>
      </c>
      <c r="N11" s="24">
        <f t="shared" si="26"/>
        <v>-7694.4533333333366</v>
      </c>
      <c r="O11" s="24">
        <f t="shared" ref="O11:BZ11" si="27">+O9-O10</f>
        <v>3953.1200000000099</v>
      </c>
      <c r="P11" s="24">
        <f t="shared" si="27"/>
        <v>4210.0966666666609</v>
      </c>
      <c r="Q11" s="91">
        <f t="shared" si="27"/>
        <v>5827.433333333327</v>
      </c>
      <c r="R11" s="83">
        <f t="shared" si="27"/>
        <v>2739.0099999999948</v>
      </c>
      <c r="S11" s="83">
        <f t="shared" si="27"/>
        <v>1276.1866666666865</v>
      </c>
      <c r="T11" s="83">
        <f t="shared" si="27"/>
        <v>-1217.1466666666765</v>
      </c>
      <c r="U11" s="83">
        <f t="shared" si="27"/>
        <v>-1489.7000000000044</v>
      </c>
      <c r="V11" s="83">
        <f t="shared" si="27"/>
        <v>-107.1033333333362</v>
      </c>
      <c r="W11" s="83">
        <f t="shared" si="27"/>
        <v>6649.843333333336</v>
      </c>
      <c r="X11" s="83">
        <f t="shared" si="27"/>
        <v>1698.1699999999983</v>
      </c>
      <c r="Y11" s="83">
        <f t="shared" si="27"/>
        <v>1051.666666666667</v>
      </c>
      <c r="Z11" s="83">
        <f t="shared" si="27"/>
        <v>1259.9133333333352</v>
      </c>
      <c r="AA11" s="83">
        <f t="shared" si="27"/>
        <v>11062.639999999985</v>
      </c>
      <c r="AB11" s="83">
        <f t="shared" si="27"/>
        <v>9965.5466666666725</v>
      </c>
      <c r="AC11" s="83">
        <f t="shared" si="27"/>
        <v>10368.513333333329</v>
      </c>
      <c r="AD11" s="83">
        <f t="shared" si="27"/>
        <v>6641.8499999999985</v>
      </c>
      <c r="AE11" s="83">
        <f t="shared" si="27"/>
        <v>433.6666666666606</v>
      </c>
      <c r="AF11" s="24">
        <f t="shared" si="27"/>
        <v>530.53333333333103</v>
      </c>
      <c r="AG11" s="83">
        <f t="shared" si="27"/>
        <v>1134.7999999999956</v>
      </c>
      <c r="AH11" s="83">
        <f t="shared" si="27"/>
        <v>1254.5366666666778</v>
      </c>
      <c r="AI11" s="83">
        <f t="shared" si="27"/>
        <v>1303.7333333333354</v>
      </c>
      <c r="AJ11" s="24">
        <f t="shared" si="27"/>
        <v>1652.1599999999962</v>
      </c>
      <c r="AK11" s="24">
        <f t="shared" si="27"/>
        <v>290.93666666667104</v>
      </c>
      <c r="AL11" s="24">
        <f t="shared" si="27"/>
        <v>533.51333333333378</v>
      </c>
      <c r="AM11" s="24">
        <f t="shared" si="27"/>
        <v>2104.1699999999837</v>
      </c>
      <c r="AN11" s="24">
        <f t="shared" si="27"/>
        <v>2909.386666666669</v>
      </c>
      <c r="AO11" s="24">
        <f t="shared" si="27"/>
        <v>4125.7033333333311</v>
      </c>
      <c r="AP11" s="24">
        <f t="shared" si="27"/>
        <v>3922.5999999999913</v>
      </c>
      <c r="AQ11" s="24">
        <f t="shared" si="27"/>
        <v>2469.7966666666725</v>
      </c>
      <c r="AR11" s="24">
        <f t="shared" si="27"/>
        <v>2549.533333333331</v>
      </c>
      <c r="AS11" s="24">
        <f t="shared" si="27"/>
        <v>2489.7799999999988</v>
      </c>
      <c r="AT11" s="24">
        <f t="shared" si="27"/>
        <v>2776.9066666666731</v>
      </c>
      <c r="AU11" s="24">
        <f t="shared" si="27"/>
        <v>3250.9933333333374</v>
      </c>
      <c r="AV11" s="24">
        <f t="shared" si="27"/>
        <v>1917.6399999999994</v>
      </c>
      <c r="AW11" s="24">
        <f t="shared" si="27"/>
        <v>1960.6266666666661</v>
      </c>
      <c r="AX11" s="24">
        <f t="shared" si="27"/>
        <v>1142.7233333333329</v>
      </c>
      <c r="AY11" s="24">
        <f t="shared" si="27"/>
        <v>15214.009999999995</v>
      </c>
      <c r="AZ11" s="24">
        <f t="shared" si="27"/>
        <v>13936.536666666678</v>
      </c>
      <c r="BA11" s="24">
        <f t="shared" si="27"/>
        <v>13491.373333333344</v>
      </c>
      <c r="BB11" s="24">
        <f t="shared" si="27"/>
        <v>7558.2200000000012</v>
      </c>
      <c r="BC11" s="24">
        <f t="shared" si="27"/>
        <v>4022.8966666666638</v>
      </c>
      <c r="BD11" s="24">
        <f t="shared" si="27"/>
        <v>2704.2133333333386</v>
      </c>
      <c r="BE11" s="24">
        <f t="shared" si="27"/>
        <v>2425.2400000000052</v>
      </c>
      <c r="BF11" s="24">
        <f t="shared" si="27"/>
        <v>2593.4966666666696</v>
      </c>
      <c r="BG11" s="24">
        <f t="shared" si="27"/>
        <v>1434.7233333333334</v>
      </c>
      <c r="BH11" s="24">
        <f t="shared" si="27"/>
        <v>2144.0099999999948</v>
      </c>
      <c r="BI11" s="24">
        <f t="shared" si="27"/>
        <v>-29.53333333333012</v>
      </c>
      <c r="BJ11" s="24">
        <f t="shared" si="27"/>
        <v>-310.93666666667059</v>
      </c>
      <c r="BK11" s="24">
        <f t="shared" si="27"/>
        <v>8917.86</v>
      </c>
      <c r="BL11" s="24">
        <f t="shared" si="27"/>
        <v>7655.5566666666673</v>
      </c>
      <c r="BM11" s="24">
        <f t="shared" si="27"/>
        <v>7795.0633333333317</v>
      </c>
      <c r="BN11" s="24">
        <f t="shared" si="27"/>
        <v>4085.5</v>
      </c>
      <c r="BO11" s="24">
        <f t="shared" si="27"/>
        <v>738.5566666666673</v>
      </c>
      <c r="BP11" s="42">
        <f t="shared" si="27"/>
        <v>-1999.3066666666655</v>
      </c>
      <c r="BQ11" s="24">
        <f t="shared" si="27"/>
        <v>-2123.2799999999988</v>
      </c>
      <c r="BR11" s="24">
        <f t="shared" si="27"/>
        <v>-1611.043333333324</v>
      </c>
      <c r="BS11" s="43">
        <f t="shared" si="27"/>
        <v>-1377.5766666666696</v>
      </c>
      <c r="BT11" s="24">
        <f t="shared" si="27"/>
        <v>-837.05999999999767</v>
      </c>
      <c r="BU11" s="24">
        <f t="shared" si="27"/>
        <v>-493.42333333332954</v>
      </c>
      <c r="BV11" s="24">
        <f t="shared" si="27"/>
        <v>828.43333333333931</v>
      </c>
      <c r="BW11" s="24">
        <f t="shared" si="27"/>
        <v>-6076.7799999999843</v>
      </c>
      <c r="BX11" s="24">
        <f t="shared" si="27"/>
        <v>-4743.7233333333315</v>
      </c>
      <c r="BY11" s="24">
        <f t="shared" si="27"/>
        <v>-4310.1966666666485</v>
      </c>
      <c r="BZ11" s="24">
        <f t="shared" si="27"/>
        <v>-3782.3300000000017</v>
      </c>
      <c r="CA11" s="24">
        <f t="shared" ref="CA11:DQ11" si="28">+CA9-CA10</f>
        <v>-3194.4333333333234</v>
      </c>
      <c r="CB11" s="24">
        <f t="shared" si="28"/>
        <v>-2824.8566666666684</v>
      </c>
      <c r="CC11" s="24">
        <f t="shared" si="28"/>
        <v>-2084.0299999999988</v>
      </c>
      <c r="CD11" s="24">
        <f t="shared" si="28"/>
        <v>-1532.0733333333374</v>
      </c>
      <c r="CE11" s="24">
        <f t="shared" si="28"/>
        <v>-394.35666666666839</v>
      </c>
      <c r="CF11" s="24">
        <f t="shared" si="28"/>
        <v>-144.92999999999302</v>
      </c>
      <c r="CG11" s="24">
        <f t="shared" si="28"/>
        <v>149.16666666666697</v>
      </c>
      <c r="CH11" s="24">
        <f t="shared" si="28"/>
        <v>-249.91666666666652</v>
      </c>
      <c r="CI11" s="24">
        <f t="shared" si="28"/>
        <v>1650.5799999999872</v>
      </c>
      <c r="CJ11" s="24">
        <f t="shared" si="28"/>
        <v>2186.3099999999977</v>
      </c>
      <c r="CK11" s="24">
        <f t="shared" si="28"/>
        <v>2757.7099999999919</v>
      </c>
      <c r="CL11" s="24">
        <f t="shared" si="28"/>
        <v>1371.3999999999942</v>
      </c>
      <c r="CM11" s="24">
        <f t="shared" si="28"/>
        <v>-102.64000000001397</v>
      </c>
      <c r="CN11" s="24">
        <f t="shared" si="28"/>
        <v>438.17999999999302</v>
      </c>
      <c r="CO11" s="24">
        <f t="shared" si="28"/>
        <v>622.76999999998952</v>
      </c>
      <c r="CP11" s="24">
        <f t="shared" si="28"/>
        <v>1416.7799999999988</v>
      </c>
      <c r="CQ11" s="24">
        <f t="shared" si="28"/>
        <v>461.44999999999709</v>
      </c>
      <c r="CR11" s="24">
        <f t="shared" si="28"/>
        <v>79.070000000006985</v>
      </c>
      <c r="CS11" s="24">
        <f t="shared" si="28"/>
        <v>-56.330000000001746</v>
      </c>
      <c r="CT11" s="24">
        <f t="shared" si="28"/>
        <v>637.62000000000262</v>
      </c>
      <c r="CU11" s="24">
        <f t="shared" si="28"/>
        <v>772.04000000000087</v>
      </c>
      <c r="CV11" s="24">
        <f t="shared" si="28"/>
        <v>2169.4733333333315</v>
      </c>
      <c r="CW11" s="24">
        <f t="shared" si="28"/>
        <v>2974.0366666666632</v>
      </c>
      <c r="CX11" s="24">
        <f t="shared" si="28"/>
        <v>4078.5600000000013</v>
      </c>
      <c r="CY11" s="24">
        <f t="shared" si="28"/>
        <v>4163.1333333333314</v>
      </c>
      <c r="CZ11" s="24">
        <f t="shared" si="28"/>
        <v>5096.7166666666672</v>
      </c>
      <c r="DA11" s="24">
        <f t="shared" si="28"/>
        <v>5572.1100000000006</v>
      </c>
      <c r="DB11" s="24">
        <f t="shared" si="28"/>
        <v>4537.0433333333385</v>
      </c>
      <c r="DC11" s="24">
        <f t="shared" si="28"/>
        <v>5214.4966666666605</v>
      </c>
      <c r="DD11" s="24">
        <f t="shared" si="28"/>
        <v>5795.2799999999988</v>
      </c>
      <c r="DE11" s="24">
        <f t="shared" si="28"/>
        <v>3265.7533333333386</v>
      </c>
      <c r="DF11" s="24">
        <f t="shared" si="28"/>
        <v>3030.5166666666651</v>
      </c>
      <c r="DG11" s="24">
        <f t="shared" si="28"/>
        <v>3975.2666666666773</v>
      </c>
      <c r="DH11" s="24">
        <f t="shared" si="28"/>
        <v>593.93333333334158</v>
      </c>
      <c r="DI11" s="24">
        <f t="shared" si="28"/>
        <v>-6790.320000000007</v>
      </c>
      <c r="DJ11" s="24">
        <f t="shared" si="28"/>
        <v>-5462.6533333333391</v>
      </c>
      <c r="DK11" s="24">
        <f t="shared" si="28"/>
        <v>-3953.9166666666642</v>
      </c>
      <c r="DL11" s="24">
        <f t="shared" si="28"/>
        <v>-2083.2600000000093</v>
      </c>
      <c r="DM11" s="24">
        <f t="shared" si="28"/>
        <v>-1282.0033333333449</v>
      </c>
      <c r="DN11" s="24">
        <f t="shared" si="28"/>
        <v>961.24333333333743</v>
      </c>
      <c r="DO11" s="24">
        <f t="shared" si="28"/>
        <v>1101.3700000000099</v>
      </c>
      <c r="DP11" s="24">
        <f t="shared" si="28"/>
        <v>217.45666666667512</v>
      </c>
      <c r="DQ11" s="24">
        <f t="shared" si="28"/>
        <v>2183.8233333333387</v>
      </c>
    </row>
    <row r="12" spans="1:13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7"/>
      <c r="BE12" s="17"/>
      <c r="BF12" s="17"/>
      <c r="BG12" s="17"/>
      <c r="BH12" s="15"/>
      <c r="BI12" s="17"/>
      <c r="BJ12" s="17"/>
      <c r="BK12" s="17"/>
      <c r="BL12" s="17"/>
      <c r="BM12" s="17"/>
      <c r="BN12" s="14"/>
      <c r="BO12" s="16"/>
      <c r="BP12" s="1"/>
      <c r="BQ12" s="1"/>
      <c r="BS12" s="37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</row>
    <row r="13" spans="1:138" x14ac:dyDescent="0.25">
      <c r="A13" s="75" t="s">
        <v>41</v>
      </c>
      <c r="D13" s="1" t="s">
        <v>42</v>
      </c>
      <c r="E13" s="26">
        <f>126988.89-1659.67</f>
        <v>125329.22</v>
      </c>
      <c r="F13" s="26">
        <f>118771.95-1659.67</f>
        <v>117112.28</v>
      </c>
      <c r="G13" s="26">
        <f>104025.79-1659.67</f>
        <v>102366.12</v>
      </c>
      <c r="H13" s="26">
        <f>90555.91-1659.67</f>
        <v>88896.24</v>
      </c>
      <c r="I13" s="26">
        <f>76071.3-1659.67</f>
        <v>74411.63</v>
      </c>
      <c r="J13" s="26">
        <f>63651.35-1659.67</f>
        <v>61991.68</v>
      </c>
      <c r="K13" s="26">
        <f>50256.6-444.27</f>
        <v>49812.33</v>
      </c>
      <c r="L13" s="26">
        <f>38088.61-146.57</f>
        <v>37942.04</v>
      </c>
      <c r="M13" s="26">
        <f>25520.37-33.34</f>
        <v>25487.03</v>
      </c>
      <c r="N13" s="26">
        <f>13646.82-33.34</f>
        <v>13613.48</v>
      </c>
      <c r="O13" s="26">
        <f>177043.31-25860.08</f>
        <v>151183.22999999998</v>
      </c>
      <c r="P13" s="26">
        <f>159031.94-25409</f>
        <v>133622.94</v>
      </c>
      <c r="Q13" s="93">
        <f>148752-25247.7</f>
        <v>123504.3</v>
      </c>
      <c r="R13" s="50">
        <f>136524.48-25247.7</f>
        <v>111276.78000000001</v>
      </c>
      <c r="S13" s="50">
        <f>114795.7-15970.94</f>
        <v>98824.76</v>
      </c>
      <c r="T13" s="50">
        <f>104448.75-15970.94</f>
        <v>88477.81</v>
      </c>
      <c r="U13" s="50">
        <f>90318.42-15442.46</f>
        <v>74875.959999999992</v>
      </c>
      <c r="V13" s="50">
        <f>65433.75-3453.52</f>
        <v>61980.23</v>
      </c>
      <c r="W13" s="50">
        <f>55126.57-2712.42</f>
        <v>52414.15</v>
      </c>
      <c r="X13" s="50">
        <f>42205.84-2403.93</f>
        <v>39801.909999999996</v>
      </c>
      <c r="Y13" s="50">
        <f>28246.9-818.93</f>
        <v>27427.97</v>
      </c>
      <c r="Z13" s="50">
        <f>17722.96-818.93</f>
        <v>16904.03</v>
      </c>
      <c r="AA13" s="50">
        <f>146026.84-2342.67</f>
        <v>143684.16999999998</v>
      </c>
      <c r="AB13" s="50">
        <f>133028.4-1931.93</f>
        <v>131096.47</v>
      </c>
      <c r="AC13" s="50">
        <f>121682.06-1834.02</f>
        <v>119848.04</v>
      </c>
      <c r="AD13" s="50">
        <f>109772.24-1834.02</f>
        <v>107938.22</v>
      </c>
      <c r="AE13" s="50">
        <f>97808.42-1834.02</f>
        <v>95974.399999999994</v>
      </c>
      <c r="AF13" s="50">
        <f>86605.59-1834.02</f>
        <v>84771.569999999992</v>
      </c>
      <c r="AG13" s="50">
        <f>74280.25-1834.02</f>
        <v>72446.23</v>
      </c>
      <c r="AH13" s="50">
        <f>61674.61-1834.02</f>
        <v>59840.590000000004</v>
      </c>
      <c r="AI13" s="50">
        <f>48701.98-484.02</f>
        <v>48217.960000000006</v>
      </c>
      <c r="AJ13" s="50">
        <f>38559.67-209.8</f>
        <v>38349.869999999995</v>
      </c>
      <c r="AK13" s="50">
        <f>25904.21-55.23</f>
        <v>25848.98</v>
      </c>
      <c r="AL13" s="50">
        <f>15361.95-55.23</f>
        <v>15306.720000000001</v>
      </c>
      <c r="AM13" s="50">
        <f>135917.55-2608.16</f>
        <v>133309.38999999998</v>
      </c>
      <c r="AN13" s="50">
        <f>121770.16-2603.07</f>
        <v>119167.09</v>
      </c>
      <c r="AO13" s="50">
        <f>111226.59-2445.28</f>
        <v>108781.31</v>
      </c>
      <c r="AP13" s="50">
        <f>101959.45-2436.03</f>
        <v>99523.42</v>
      </c>
      <c r="AQ13" s="50">
        <f>92882.53-2436.03</f>
        <v>90446.5</v>
      </c>
      <c r="AR13" s="50">
        <f>82875.44-2436.03</f>
        <v>80439.41</v>
      </c>
      <c r="AS13" s="50">
        <f>71908.83-2436.03</f>
        <v>69472.800000000003</v>
      </c>
      <c r="AT13" s="50">
        <f>57597.1-2436.03</f>
        <v>55161.07</v>
      </c>
      <c r="AU13" s="50">
        <f>46692.66-705.85</f>
        <v>45986.810000000005</v>
      </c>
      <c r="AV13" s="50">
        <f>35614.51-366.52</f>
        <v>35247.990000000005</v>
      </c>
      <c r="AW13" s="50">
        <f>22673.85-220.91</f>
        <v>22452.94</v>
      </c>
      <c r="AX13" s="50">
        <f>12879.58-220.91</f>
        <v>12658.67</v>
      </c>
      <c r="AY13" s="50">
        <f>131454.02-874.11</f>
        <v>130579.90999999999</v>
      </c>
      <c r="AZ13" s="50">
        <f>114923.15-863.93</f>
        <v>114059.22</v>
      </c>
      <c r="BA13" s="50">
        <f>105638.28-763.26</f>
        <v>104875.02</v>
      </c>
      <c r="BB13" s="50">
        <f>96459.87-635.3</f>
        <v>95824.569999999992</v>
      </c>
      <c r="BC13" s="50">
        <f>84954.66-635.3</f>
        <v>84319.360000000001</v>
      </c>
      <c r="BD13" s="50">
        <f>74219.02-635.3</f>
        <v>73583.72</v>
      </c>
      <c r="BE13" s="50">
        <f>65001.11-635.3</f>
        <v>64365.81</v>
      </c>
      <c r="BF13" s="50">
        <f>53309.84-635.3</f>
        <v>52674.539999999994</v>
      </c>
      <c r="BG13" s="50">
        <f>43246.5-333.8</f>
        <v>42912.7</v>
      </c>
      <c r="BH13" s="50">
        <f>35416.66-20.12</f>
        <v>35396.54</v>
      </c>
      <c r="BI13" s="50">
        <f>22229.83-0</f>
        <v>22229.83</v>
      </c>
      <c r="BJ13" s="50">
        <f>12564.2-0</f>
        <v>12564.2</v>
      </c>
      <c r="BK13" s="50">
        <f>123238.69-1297.46</f>
        <v>121941.23</v>
      </c>
      <c r="BL13" s="50">
        <f>111121.5-978.17</f>
        <v>110143.33</v>
      </c>
      <c r="BM13" s="50">
        <f>100976.77-959.48</f>
        <v>100017.29000000001</v>
      </c>
      <c r="BN13" s="50">
        <f>90910.31-936.27</f>
        <v>89974.04</v>
      </c>
      <c r="BO13" s="50">
        <f>78947.58-936.27</f>
        <v>78011.31</v>
      </c>
      <c r="BP13" s="26">
        <f>70294.56-936.27</f>
        <v>69358.289999999994</v>
      </c>
      <c r="BQ13" s="26">
        <f>(58593.37-936.27)</f>
        <v>57657.100000000006</v>
      </c>
      <c r="BR13" s="26">
        <f>(48997.75-873.18)</f>
        <v>48124.57</v>
      </c>
      <c r="BS13" s="52">
        <f>(40021.33-869.18)</f>
        <v>39152.15</v>
      </c>
      <c r="BT13" s="26">
        <f>(30611.09-697.96)</f>
        <v>29913.13</v>
      </c>
      <c r="BU13" s="26">
        <f>(20217.68-697.96)</f>
        <v>19519.72</v>
      </c>
      <c r="BV13" s="26">
        <f>(11012.82-697.96)</f>
        <v>10314.86</v>
      </c>
      <c r="BW13" s="26">
        <f>(150305.91-28054.87)</f>
        <v>122251.04000000001</v>
      </c>
      <c r="BX13" s="26">
        <f>(138221.17-28054.87)</f>
        <v>110166.30000000002</v>
      </c>
      <c r="BY13" s="26">
        <f>(128034.77-28054.87)</f>
        <v>99979.900000000009</v>
      </c>
      <c r="BZ13" s="26">
        <f>(118919.15-28054.87)</f>
        <v>90864.28</v>
      </c>
      <c r="CA13" s="26">
        <f>(108842.82-28054.87)</f>
        <v>80787.950000000012</v>
      </c>
      <c r="CB13" s="26">
        <f>(99979.98-28054.87)</f>
        <v>71925.11</v>
      </c>
      <c r="CC13" s="26">
        <f>(86616.98-28054.87)</f>
        <v>58562.11</v>
      </c>
      <c r="CD13" s="26">
        <f>(77238.59-27981.04)</f>
        <v>49257.549999999996</v>
      </c>
      <c r="CE13" s="26">
        <f>(51279.97-11709.7)</f>
        <v>39570.270000000004</v>
      </c>
      <c r="CF13" s="26">
        <f>(30585.44-1135.78)</f>
        <v>29449.66</v>
      </c>
      <c r="CG13" s="26">
        <f>(21028.39-150)</f>
        <v>20878.39</v>
      </c>
      <c r="CH13" s="9">
        <v>11098.15</v>
      </c>
      <c r="CI13" s="26">
        <f>(135067.49-23755.84)</f>
        <v>111311.65</v>
      </c>
      <c r="CJ13" s="26">
        <f>(125182.71-23755.84)</f>
        <v>101426.87000000001</v>
      </c>
      <c r="CK13" s="26">
        <f>(116596.59-23755.84)</f>
        <v>92840.75</v>
      </c>
      <c r="CL13" s="26">
        <f>(106649.09-23755.84)</f>
        <v>82893.25</v>
      </c>
      <c r="CM13" s="26">
        <f>(96846.84-23755.84)</f>
        <v>73091</v>
      </c>
      <c r="CN13" s="26">
        <f>(88425.34-23755.84)</f>
        <v>64669.5</v>
      </c>
      <c r="CO13" s="26">
        <f>(77233.86-23755.84)</f>
        <v>53478.020000000004</v>
      </c>
      <c r="CP13" s="26">
        <f>(53834.91-8057.02)</f>
        <v>45777.89</v>
      </c>
      <c r="CQ13" s="26">
        <f>(44391.49-7344.94)</f>
        <v>37046.549999999996</v>
      </c>
      <c r="CR13" s="26">
        <f>(27338.65-1526.32)</f>
        <v>25812.33</v>
      </c>
      <c r="CS13" s="26">
        <f>(19258.71-1288.57)</f>
        <v>17970.14</v>
      </c>
      <c r="CT13" s="26">
        <f>(10649.99-506.65)</f>
        <v>10143.34</v>
      </c>
      <c r="CU13" s="10">
        <v>115540.4</v>
      </c>
      <c r="CV13" s="10">
        <v>104659.05</v>
      </c>
      <c r="CW13" s="10">
        <v>95877.11</v>
      </c>
      <c r="CX13" s="10">
        <v>86530.68</v>
      </c>
      <c r="CY13" s="10">
        <v>78335.34</v>
      </c>
      <c r="CZ13" s="48">
        <f>98543.87-28573.11</f>
        <v>69970.759999999995</v>
      </c>
      <c r="DA13" s="48">
        <f>68115.97-9005.62</f>
        <v>59110.35</v>
      </c>
      <c r="DB13" s="48">
        <f>51337.23-2013.16</f>
        <v>49324.07</v>
      </c>
      <c r="DC13" s="48">
        <f>41173.06-1105.92</f>
        <v>40067.14</v>
      </c>
      <c r="DD13" s="48">
        <f>31849.6-797.94</f>
        <v>31051.66</v>
      </c>
      <c r="DE13" s="48">
        <f>21770.23-197.94</f>
        <v>21572.29</v>
      </c>
      <c r="DF13" s="48">
        <f>13700.23-197.94</f>
        <v>13502.289999999999</v>
      </c>
      <c r="DG13" s="48">
        <f>141771.38-37905.51</f>
        <v>103865.87</v>
      </c>
      <c r="DH13" s="48">
        <f>131940.21-37617.8</f>
        <v>94322.409999999989</v>
      </c>
      <c r="DI13" s="48">
        <f>123167.82-36987</f>
        <v>86180.82</v>
      </c>
      <c r="DJ13" s="48">
        <f>115581.16-36987</f>
        <v>78594.16</v>
      </c>
      <c r="DK13" s="48">
        <f>100991.76-36987</f>
        <v>64004.759999999995</v>
      </c>
      <c r="DL13" s="48">
        <f>89873.8-35301.79</f>
        <v>54572.01</v>
      </c>
      <c r="DM13" s="48">
        <f>57686.79-10566.83</f>
        <v>47119.96</v>
      </c>
      <c r="DN13" s="48">
        <f>46573.23-7698.84</f>
        <v>38874.39</v>
      </c>
      <c r="DO13" s="48">
        <f>35702.89-6835.98</f>
        <v>28866.91</v>
      </c>
      <c r="DP13" s="48">
        <f>15509.91-392.48</f>
        <v>15117.43</v>
      </c>
      <c r="DQ13" s="48">
        <f>9727.03-198.3</f>
        <v>9528.7300000000014</v>
      </c>
      <c r="DR13" s="48">
        <f>165283.61-55089.91</f>
        <v>110193.69999999998</v>
      </c>
      <c r="DS13" s="48">
        <f>154985.88-55089.91</f>
        <v>99895.97</v>
      </c>
      <c r="DT13" s="48">
        <f>147908.73-55089.91</f>
        <v>92818.82</v>
      </c>
      <c r="DU13" s="48">
        <f>137385.94-53318.11</f>
        <v>84067.83</v>
      </c>
      <c r="DV13" s="48">
        <f>129017.7-53318.11</f>
        <v>75699.59</v>
      </c>
      <c r="DW13" s="48">
        <f>120422.8-53318.11</f>
        <v>67104.69</v>
      </c>
      <c r="DX13" s="48">
        <f>110494.93-53318.11</f>
        <v>57176.819999999992</v>
      </c>
      <c r="DY13" s="48">
        <f>102406.75-52731.61</f>
        <v>49675.14</v>
      </c>
      <c r="DZ13" s="48">
        <f>56305.75-17474.25</f>
        <v>38831.5</v>
      </c>
      <c r="EA13" s="48">
        <f>29627.71-1697.38</f>
        <v>27930.329999999998</v>
      </c>
      <c r="EB13" s="48">
        <f>19782.49-632.98</f>
        <v>19149.510000000002</v>
      </c>
      <c r="EC13" s="48">
        <f>9721.86-132.98</f>
        <v>9588.880000000001</v>
      </c>
    </row>
    <row r="14" spans="1:138" x14ac:dyDescent="0.25">
      <c r="A14" s="75" t="s">
        <v>38</v>
      </c>
      <c r="D14" s="1" t="s">
        <v>43</v>
      </c>
      <c r="E14" s="26">
        <f>+(164243.35-4106)/12*10</f>
        <v>133447.79166666669</v>
      </c>
      <c r="F14" s="26">
        <f>+(164243.35-4106)/12*9</f>
        <v>120103.01250000001</v>
      </c>
      <c r="G14" s="26">
        <f>+(164243.35-4106)/12*8</f>
        <v>106758.23333333334</v>
      </c>
      <c r="H14" s="26">
        <f>+(164243.35-4106)/12*7</f>
        <v>93413.454166666663</v>
      </c>
      <c r="I14" s="26">
        <f>+(164243.35-4106)/12*6</f>
        <v>80068.675000000003</v>
      </c>
      <c r="J14" s="26">
        <f>+(164243.35-4106)/12*5</f>
        <v>66723.895833333343</v>
      </c>
      <c r="K14" s="26">
        <f>+(164243.35-4106)/12*4</f>
        <v>53379.116666666669</v>
      </c>
      <c r="L14" s="26">
        <f>+(164243.35-4106)/12*3</f>
        <v>40034.337500000001</v>
      </c>
      <c r="M14" s="26">
        <f>+(164243.35-4106)/12*2</f>
        <v>26689.558333333334</v>
      </c>
      <c r="N14" s="26">
        <f>+(164243.35-4106)/12*1</f>
        <v>13344.779166666667</v>
      </c>
      <c r="O14" s="26">
        <f>+(165347-31090)/12*12</f>
        <v>134257</v>
      </c>
      <c r="P14" s="26">
        <f>+(165347-31090)/12*11</f>
        <v>123068.91666666667</v>
      </c>
      <c r="Q14" s="93">
        <f>+(165347-31090)/12*10</f>
        <v>111880.83333333334</v>
      </c>
      <c r="R14" s="50">
        <f>+(165347-31090)/12*9</f>
        <v>100692.75</v>
      </c>
      <c r="S14" s="50">
        <f>+(165347-31090)/12*8</f>
        <v>89504.666666666672</v>
      </c>
      <c r="T14" s="50">
        <f>+(165347-31090)/12*7</f>
        <v>78316.583333333343</v>
      </c>
      <c r="U14" s="50">
        <f>+(165347-31090)/12*6</f>
        <v>67128.5</v>
      </c>
      <c r="V14" s="50">
        <f>+(165347-31090)/12*5</f>
        <v>55940.416666666672</v>
      </c>
      <c r="W14" s="50">
        <f>+(165347-31090)/12*4</f>
        <v>44752.333333333336</v>
      </c>
      <c r="X14" s="50">
        <f>+(165347-31090)/12*3</f>
        <v>33564.25</v>
      </c>
      <c r="Y14" s="50">
        <f>+(165347-31090)/12*2</f>
        <v>22376.166666666668</v>
      </c>
      <c r="Z14" s="50">
        <f>+(165347-31090)/12*1</f>
        <v>11188.083333333334</v>
      </c>
      <c r="AA14" s="50">
        <f>+(165347-31090)/12*12</f>
        <v>134257</v>
      </c>
      <c r="AB14" s="50">
        <f>+(165347-31090)/12*11</f>
        <v>123068.91666666667</v>
      </c>
      <c r="AC14" s="50">
        <f>+(165347-31090)/12*10</f>
        <v>111880.83333333334</v>
      </c>
      <c r="AD14" s="50">
        <f>+(165347-31090)/12*9</f>
        <v>100692.75</v>
      </c>
      <c r="AE14" s="50">
        <f>+(165347-31090)/12*8</f>
        <v>89504.666666666672</v>
      </c>
      <c r="AF14" s="50">
        <f>+(165347-31090)/12*7</f>
        <v>78316.583333333343</v>
      </c>
      <c r="AG14" s="50">
        <f>+(165347-31090)/12*6</f>
        <v>67128.5</v>
      </c>
      <c r="AH14" s="50">
        <f>+(165347-31090)/12*5</f>
        <v>55940.416666666672</v>
      </c>
      <c r="AI14" s="50">
        <f>+(165347-31090)/12*4</f>
        <v>44752.333333333336</v>
      </c>
      <c r="AJ14" s="50">
        <f>+(165347-31090)/12*3</f>
        <v>33564.25</v>
      </c>
      <c r="AK14" s="50">
        <f>+(165347-31090)/12*2</f>
        <v>22376.166666666668</v>
      </c>
      <c r="AL14" s="50">
        <f>+(165347-31090)/12*1</f>
        <v>11188.083333333334</v>
      </c>
      <c r="AM14" s="50">
        <f>+(165347-31090)/12*12</f>
        <v>134257</v>
      </c>
      <c r="AN14" s="50">
        <f>+(165347-31090)/12*11</f>
        <v>123068.91666666667</v>
      </c>
      <c r="AO14" s="50">
        <f>+(165347-31090)/12*10</f>
        <v>111880.83333333334</v>
      </c>
      <c r="AP14" s="50">
        <f>+(165347-31090)/12*9</f>
        <v>100692.75</v>
      </c>
      <c r="AQ14" s="50">
        <f>+(165347-31090)/12*8</f>
        <v>89504.666666666672</v>
      </c>
      <c r="AR14" s="50">
        <f>+(165347-31090)/12*7</f>
        <v>78316.583333333343</v>
      </c>
      <c r="AS14" s="50">
        <f>+(165347-31090)/12*6</f>
        <v>67128.5</v>
      </c>
      <c r="AT14" s="50">
        <f>+(165347-31090)/12*5</f>
        <v>55940.416666666672</v>
      </c>
      <c r="AU14" s="50">
        <f>+(165347-31090)/12*4</f>
        <v>44752.333333333336</v>
      </c>
      <c r="AV14" s="50">
        <f>+(165347-31090)/12*3</f>
        <v>33564.25</v>
      </c>
      <c r="AW14" s="50">
        <f>+(165347-31090)/12*2</f>
        <v>22376.166666666668</v>
      </c>
      <c r="AX14" s="50">
        <f>+(165347-31090)/12*1</f>
        <v>11188.083333333334</v>
      </c>
      <c r="AY14" s="50">
        <f>+(165347-31090)/12*12</f>
        <v>134257</v>
      </c>
      <c r="AZ14" s="50">
        <f>+(165347-31090)/12*11</f>
        <v>123068.91666666667</v>
      </c>
      <c r="BA14" s="50">
        <f>+(165347-31090)/12*10</f>
        <v>111880.83333333334</v>
      </c>
      <c r="BB14" s="50">
        <f>+(165347-31090)/12*9</f>
        <v>100692.75</v>
      </c>
      <c r="BC14" s="50">
        <f>+(165347-31090)/12*8</f>
        <v>89504.666666666672</v>
      </c>
      <c r="BD14" s="50">
        <f>+(165347-31090)/12*7</f>
        <v>78316.583333333343</v>
      </c>
      <c r="BE14" s="50">
        <f>+(165347-31090)/12*6</f>
        <v>67128.5</v>
      </c>
      <c r="BF14" s="50">
        <f>+(165347-31090)/12*5</f>
        <v>55940.416666666672</v>
      </c>
      <c r="BG14" s="50">
        <f>+(165347-31090)/12*4</f>
        <v>44752.333333333336</v>
      </c>
      <c r="BH14" s="50">
        <f>+(165347-31090)/12*3</f>
        <v>33564.25</v>
      </c>
      <c r="BI14" s="50">
        <f>+(165347-31090)/12*2</f>
        <v>22376.166666666668</v>
      </c>
      <c r="BJ14" s="50">
        <f>+(165347-31090)/12*1</f>
        <v>11188.083333333334</v>
      </c>
      <c r="BK14" s="50">
        <f>+(165347-31090)/12*12</f>
        <v>134257</v>
      </c>
      <c r="BL14" s="50">
        <f>+(165347-31090)/12*11</f>
        <v>123068.91666666667</v>
      </c>
      <c r="BM14" s="50">
        <f>+(165347-31090)/12*10</f>
        <v>111880.83333333334</v>
      </c>
      <c r="BN14" s="50">
        <f>+(165347-31090)/12*9</f>
        <v>100692.75</v>
      </c>
      <c r="BO14" s="50">
        <f>+(165347-31090)/12*8</f>
        <v>89504.666666666672</v>
      </c>
      <c r="BP14" s="26">
        <f>+(165347-31090)/12*7</f>
        <v>78316.583333333343</v>
      </c>
      <c r="BQ14" s="26">
        <f>+(165347-31090)/12*6</f>
        <v>67128.5</v>
      </c>
      <c r="BR14" s="26">
        <f>+(165347-31090)/12*5</f>
        <v>55940.416666666672</v>
      </c>
      <c r="BS14" s="52">
        <f>+(165347-31090)/12*4</f>
        <v>44752.333333333336</v>
      </c>
      <c r="BT14" s="26">
        <f>+(165347-31090)/12*3</f>
        <v>33564.25</v>
      </c>
      <c r="BU14" s="26">
        <f>+(165347-31090)/12*2</f>
        <v>22376.166666666668</v>
      </c>
      <c r="BV14" s="26">
        <f>+(165347-31090)/12*1</f>
        <v>11188.083333333334</v>
      </c>
      <c r="BW14" s="26">
        <f>+(173675-38900)/12*12</f>
        <v>134775</v>
      </c>
      <c r="BX14" s="26">
        <f>+(173675-38900)/12*11</f>
        <v>123543.75</v>
      </c>
      <c r="BY14" s="26">
        <f>+(173675-38900)/12*10</f>
        <v>112312.5</v>
      </c>
      <c r="BZ14" s="26">
        <f>+(173675-38900)/12*9</f>
        <v>101081.25</v>
      </c>
      <c r="CA14" s="26">
        <f>+(173675-38900)/12*8</f>
        <v>89850</v>
      </c>
      <c r="CB14" s="26">
        <f>+(173675-38900)/12*7</f>
        <v>78618.75</v>
      </c>
      <c r="CC14" s="26">
        <f>+(173675-38900)/12*6</f>
        <v>67387.5</v>
      </c>
      <c r="CD14" s="26">
        <f>+(173675-38900)/12*5</f>
        <v>56156.25</v>
      </c>
      <c r="CE14" s="26">
        <f>+(173675-38900)/12*4</f>
        <v>44925</v>
      </c>
      <c r="CF14" s="26">
        <f>+(173675-38900)/12*3</f>
        <v>33693.75</v>
      </c>
      <c r="CG14" s="26">
        <f>+(173675-38900)/12*2</f>
        <v>22462.5</v>
      </c>
      <c r="CH14" s="26">
        <f>+(173675-38900)/12*1</f>
        <v>11231.25</v>
      </c>
      <c r="CI14" s="26">
        <f>+(158897-34415)/12*12</f>
        <v>124482</v>
      </c>
      <c r="CJ14" s="26">
        <f>+(158897-34415)/12*11</f>
        <v>114108.5</v>
      </c>
      <c r="CK14" s="26">
        <f>+(158897-34415)/12*10</f>
        <v>103735</v>
      </c>
      <c r="CL14" s="26">
        <f>+(158897-34415)/12*9</f>
        <v>93361.5</v>
      </c>
      <c r="CM14" s="26">
        <f>+(158897-34415)/12*8</f>
        <v>82988</v>
      </c>
      <c r="CN14" s="26">
        <f>+(158897-34415)/12*7</f>
        <v>72614.5</v>
      </c>
      <c r="CO14" s="26">
        <f>+(158897-34415)/12*6</f>
        <v>62241</v>
      </c>
      <c r="CP14" s="26">
        <f>+(158897-34415)/12*5</f>
        <v>51867.5</v>
      </c>
      <c r="CQ14" s="26">
        <f>+(158897-34415)/12*4</f>
        <v>41494</v>
      </c>
      <c r="CR14" s="26">
        <f>+(158897-34415)/12*3</f>
        <v>31120.5</v>
      </c>
      <c r="CS14" s="26">
        <f>+(158897-34415)/12*2</f>
        <v>20747</v>
      </c>
      <c r="CT14" s="26">
        <f>+(158897-34415)/12</f>
        <v>10373.5</v>
      </c>
      <c r="CU14" s="48">
        <f>+(169577-41565)/12*12</f>
        <v>128012</v>
      </c>
      <c r="CV14" s="48">
        <f>+(169577-41565)/12*11</f>
        <v>117344.33333333333</v>
      </c>
      <c r="CW14" s="48">
        <f>+(169577-41565)/12*10</f>
        <v>106676.66666666666</v>
      </c>
      <c r="CX14" s="48">
        <f>+(169577-41565)/12*9</f>
        <v>96009</v>
      </c>
      <c r="CY14" s="48">
        <f>+(169577-41565)/12*8</f>
        <v>85341.333333333328</v>
      </c>
      <c r="CZ14" s="48">
        <f>+(169577-41565)/12*7</f>
        <v>74673.666666666657</v>
      </c>
      <c r="DA14" s="48">
        <f>+(169577-41565)/12*6</f>
        <v>64006</v>
      </c>
      <c r="DB14" s="48">
        <f>+(169577-41565)/12*5</f>
        <v>53338.333333333328</v>
      </c>
      <c r="DC14" s="48">
        <f>+(169577-41565)/12*4</f>
        <v>42670.666666666664</v>
      </c>
      <c r="DD14" s="48">
        <f>+(169577-41565)/12*3</f>
        <v>32003</v>
      </c>
      <c r="DE14" s="48">
        <f>+(169577-41565)/12*2</f>
        <v>21335.333333333332</v>
      </c>
      <c r="DF14" s="48">
        <f>+(169577-41565)/12</f>
        <v>10667.666666666666</v>
      </c>
      <c r="DG14" s="48">
        <f>+(171526-40275)/12*11</f>
        <v>120313.41666666667</v>
      </c>
      <c r="DH14" s="48">
        <f>+(171526-40275)/12*10</f>
        <v>109375.83333333334</v>
      </c>
      <c r="DI14" s="48">
        <f>+(171526-40275)/12*9</f>
        <v>98438.25</v>
      </c>
      <c r="DJ14" s="48">
        <f>+(171526-40275)/12*8</f>
        <v>87500.666666666672</v>
      </c>
      <c r="DK14" s="48">
        <f>+(171526-40275)/12*7</f>
        <v>76563.083333333343</v>
      </c>
      <c r="DL14" s="48">
        <f>+(171526-40275)/12*6</f>
        <v>65625.5</v>
      </c>
      <c r="DM14" s="48">
        <f>+(171526-40275)/12*5</f>
        <v>54687.916666666672</v>
      </c>
      <c r="DN14" s="48">
        <f>+(171526-40275)/12*4</f>
        <v>43750.333333333336</v>
      </c>
      <c r="DO14" s="48">
        <f>+(171526-40275)/12*3</f>
        <v>32812.75</v>
      </c>
      <c r="DP14" s="48">
        <f>+(171526-40275)/12*2</f>
        <v>21875.166666666668</v>
      </c>
      <c r="DQ14" s="48">
        <f>+(171526-40275)/12</f>
        <v>10937.583333333334</v>
      </c>
      <c r="DR14" s="48">
        <f>131660/12*12</f>
        <v>131660</v>
      </c>
      <c r="DS14" s="48">
        <f>131660/12*11</f>
        <v>120688.33333333333</v>
      </c>
      <c r="DT14" s="48">
        <f>131660/12*10</f>
        <v>109716.66666666666</v>
      </c>
      <c r="DU14" s="48">
        <f>131660/12*9</f>
        <v>98745</v>
      </c>
      <c r="DV14" s="48">
        <f>131660/12*8</f>
        <v>87773.333333333328</v>
      </c>
      <c r="DW14" s="48">
        <f>131660/12*7</f>
        <v>76801.666666666657</v>
      </c>
      <c r="DX14" s="48">
        <f>131660/12*6</f>
        <v>65830</v>
      </c>
      <c r="DY14" s="48">
        <f>131660/12*5</f>
        <v>54858.333333333328</v>
      </c>
      <c r="DZ14" s="48">
        <f>131660/12*4</f>
        <v>43886.666666666664</v>
      </c>
      <c r="EA14" s="48">
        <f>131660/12*3</f>
        <v>32915</v>
      </c>
      <c r="EB14" s="48">
        <f>131660/12*2</f>
        <v>21943.333333333332</v>
      </c>
      <c r="EC14" s="48">
        <f>131660/12</f>
        <v>10971.666666666666</v>
      </c>
    </row>
    <row r="15" spans="1:138" x14ac:dyDescent="0.25">
      <c r="D15" s="1" t="s">
        <v>44</v>
      </c>
      <c r="E15" s="24">
        <f t="shared" ref="E15:F15" si="29">+E14-E13</f>
        <v>8118.5716666666849</v>
      </c>
      <c r="F15" s="24">
        <f t="shared" si="29"/>
        <v>2990.7325000000128</v>
      </c>
      <c r="G15" s="24">
        <f t="shared" ref="G15:H15" si="30">+G14-G13</f>
        <v>4392.1133333333419</v>
      </c>
      <c r="H15" s="24">
        <f t="shared" si="30"/>
        <v>4517.2141666666575</v>
      </c>
      <c r="I15" s="24">
        <f t="shared" ref="I15:J15" si="31">+I14-I13</f>
        <v>5657.0449999999983</v>
      </c>
      <c r="J15" s="24">
        <f t="shared" si="31"/>
        <v>4732.2158333333427</v>
      </c>
      <c r="K15" s="24">
        <f t="shared" ref="K15:L15" si="32">+K14-K13</f>
        <v>3566.7866666666669</v>
      </c>
      <c r="L15" s="24">
        <f t="shared" si="32"/>
        <v>2092.2975000000006</v>
      </c>
      <c r="M15" s="24">
        <f t="shared" ref="M15:N15" si="33">+M14-M13</f>
        <v>1202.5283333333355</v>
      </c>
      <c r="N15" s="24">
        <f t="shared" si="33"/>
        <v>-268.70083333333241</v>
      </c>
      <c r="O15" s="24">
        <f t="shared" ref="O15:BZ15" si="34">+O14-O13</f>
        <v>-16926.229999999981</v>
      </c>
      <c r="P15" s="24">
        <f t="shared" si="34"/>
        <v>-10554.023333333331</v>
      </c>
      <c r="Q15" s="91">
        <f t="shared" si="34"/>
        <v>-11623.46666666666</v>
      </c>
      <c r="R15" s="83">
        <f t="shared" si="34"/>
        <v>-10584.030000000013</v>
      </c>
      <c r="S15" s="83">
        <f t="shared" si="34"/>
        <v>-9320.0933333333232</v>
      </c>
      <c r="T15" s="83">
        <f t="shared" si="34"/>
        <v>-10161.226666666655</v>
      </c>
      <c r="U15" s="83">
        <f t="shared" si="34"/>
        <v>-7747.4599999999919</v>
      </c>
      <c r="V15" s="83">
        <f t="shared" si="34"/>
        <v>-6039.8133333333317</v>
      </c>
      <c r="W15" s="83">
        <f t="shared" si="34"/>
        <v>-7661.8166666666657</v>
      </c>
      <c r="X15" s="83">
        <f t="shared" si="34"/>
        <v>-6237.6599999999962</v>
      </c>
      <c r="Y15" s="83">
        <f t="shared" si="34"/>
        <v>-5051.8033333333333</v>
      </c>
      <c r="Z15" s="83">
        <f t="shared" si="34"/>
        <v>-5715.9466666666649</v>
      </c>
      <c r="AA15" s="83">
        <f t="shared" si="34"/>
        <v>-9427.1699999999837</v>
      </c>
      <c r="AB15" s="83">
        <f t="shared" si="34"/>
        <v>-8027.5533333333296</v>
      </c>
      <c r="AC15" s="83">
        <f t="shared" si="34"/>
        <v>-7967.2066666666506</v>
      </c>
      <c r="AD15" s="83">
        <f t="shared" si="34"/>
        <v>-7245.4700000000012</v>
      </c>
      <c r="AE15" s="83">
        <f t="shared" si="34"/>
        <v>-6469.7333333333227</v>
      </c>
      <c r="AF15" s="24">
        <f t="shared" si="34"/>
        <v>-6454.9866666666494</v>
      </c>
      <c r="AG15" s="83">
        <f t="shared" si="34"/>
        <v>-5317.7299999999959</v>
      </c>
      <c r="AH15" s="83">
        <f t="shared" si="34"/>
        <v>-3900.1733333333323</v>
      </c>
      <c r="AI15" s="83">
        <f t="shared" si="34"/>
        <v>-3465.6266666666706</v>
      </c>
      <c r="AJ15" s="24">
        <f t="shared" si="34"/>
        <v>-4785.6199999999953</v>
      </c>
      <c r="AK15" s="24">
        <f t="shared" si="34"/>
        <v>-3472.8133333333317</v>
      </c>
      <c r="AL15" s="24">
        <f t="shared" si="34"/>
        <v>-4118.6366666666672</v>
      </c>
      <c r="AM15" s="24">
        <f t="shared" si="34"/>
        <v>947.61000000001513</v>
      </c>
      <c r="AN15" s="24">
        <f t="shared" si="34"/>
        <v>3901.826666666675</v>
      </c>
      <c r="AO15" s="24">
        <f t="shared" si="34"/>
        <v>3099.5233333333454</v>
      </c>
      <c r="AP15" s="24">
        <f t="shared" si="34"/>
        <v>1169.3300000000017</v>
      </c>
      <c r="AQ15" s="24">
        <f t="shared" si="34"/>
        <v>-941.83333333332848</v>
      </c>
      <c r="AR15" s="24">
        <f t="shared" si="34"/>
        <v>-2122.8266666666605</v>
      </c>
      <c r="AS15" s="24">
        <f t="shared" si="34"/>
        <v>-2344.3000000000029</v>
      </c>
      <c r="AT15" s="24">
        <f t="shared" si="34"/>
        <v>779.34666666667181</v>
      </c>
      <c r="AU15" s="24">
        <f t="shared" si="34"/>
        <v>-1234.4766666666692</v>
      </c>
      <c r="AV15" s="24">
        <f t="shared" si="34"/>
        <v>-1683.7400000000052</v>
      </c>
      <c r="AW15" s="24">
        <f t="shared" si="34"/>
        <v>-76.773333333330811</v>
      </c>
      <c r="AX15" s="24">
        <f t="shared" si="34"/>
        <v>-1470.5866666666661</v>
      </c>
      <c r="AY15" s="24">
        <f t="shared" si="34"/>
        <v>3677.0900000000111</v>
      </c>
      <c r="AZ15" s="24">
        <f t="shared" si="34"/>
        <v>9009.6966666666704</v>
      </c>
      <c r="BA15" s="24">
        <f t="shared" si="34"/>
        <v>7005.813333333339</v>
      </c>
      <c r="BB15" s="24">
        <f t="shared" si="34"/>
        <v>4868.1800000000076</v>
      </c>
      <c r="BC15" s="24">
        <f t="shared" si="34"/>
        <v>5185.3066666666709</v>
      </c>
      <c r="BD15" s="24">
        <f t="shared" si="34"/>
        <v>4732.8633333333419</v>
      </c>
      <c r="BE15" s="24">
        <f t="shared" si="34"/>
        <v>2762.6900000000023</v>
      </c>
      <c r="BF15" s="24">
        <f t="shared" si="34"/>
        <v>3265.8766666666779</v>
      </c>
      <c r="BG15" s="24">
        <f t="shared" si="34"/>
        <v>1839.6333333333387</v>
      </c>
      <c r="BH15" s="24">
        <f t="shared" si="34"/>
        <v>-1832.2900000000009</v>
      </c>
      <c r="BI15" s="24">
        <f t="shared" si="34"/>
        <v>146.33666666666613</v>
      </c>
      <c r="BJ15" s="24">
        <f t="shared" si="34"/>
        <v>-1376.1166666666668</v>
      </c>
      <c r="BK15" s="24">
        <f t="shared" si="34"/>
        <v>12315.770000000004</v>
      </c>
      <c r="BL15" s="24">
        <f t="shared" si="34"/>
        <v>12925.58666666667</v>
      </c>
      <c r="BM15" s="24">
        <f t="shared" si="34"/>
        <v>11863.543333333335</v>
      </c>
      <c r="BN15" s="24">
        <f t="shared" si="34"/>
        <v>10718.710000000006</v>
      </c>
      <c r="BO15" s="24">
        <f t="shared" si="34"/>
        <v>11493.356666666674</v>
      </c>
      <c r="BP15" s="42">
        <f t="shared" si="34"/>
        <v>8958.2933333333494</v>
      </c>
      <c r="BQ15" s="24">
        <f t="shared" si="34"/>
        <v>9471.3999999999942</v>
      </c>
      <c r="BR15" s="24">
        <f t="shared" si="34"/>
        <v>7815.8466666666718</v>
      </c>
      <c r="BS15" s="43">
        <f t="shared" si="34"/>
        <v>5600.1833333333343</v>
      </c>
      <c r="BT15" s="24">
        <f t="shared" si="34"/>
        <v>3651.119999999999</v>
      </c>
      <c r="BU15" s="24">
        <f t="shared" si="34"/>
        <v>2856.4466666666667</v>
      </c>
      <c r="BV15" s="24">
        <f t="shared" si="34"/>
        <v>873.22333333333336</v>
      </c>
      <c r="BW15" s="24">
        <f t="shared" si="34"/>
        <v>12523.959999999992</v>
      </c>
      <c r="BX15" s="24">
        <f t="shared" si="34"/>
        <v>13377.449999999983</v>
      </c>
      <c r="BY15" s="24">
        <f t="shared" si="34"/>
        <v>12332.599999999991</v>
      </c>
      <c r="BZ15" s="24">
        <f t="shared" si="34"/>
        <v>10216.970000000001</v>
      </c>
      <c r="CA15" s="24">
        <f t="shared" ref="CA15:EC15" si="35">+CA14-CA13</f>
        <v>9062.0499999999884</v>
      </c>
      <c r="CB15" s="24">
        <f t="shared" si="35"/>
        <v>6693.6399999999994</v>
      </c>
      <c r="CC15" s="24">
        <f t="shared" si="35"/>
        <v>8825.39</v>
      </c>
      <c r="CD15" s="24">
        <f t="shared" si="35"/>
        <v>6898.7000000000044</v>
      </c>
      <c r="CE15" s="24">
        <f t="shared" si="35"/>
        <v>5354.7299999999959</v>
      </c>
      <c r="CF15" s="24">
        <f t="shared" si="35"/>
        <v>4244.09</v>
      </c>
      <c r="CG15" s="24">
        <f t="shared" si="35"/>
        <v>1584.1100000000006</v>
      </c>
      <c r="CH15" s="24">
        <f t="shared" si="35"/>
        <v>133.10000000000036</v>
      </c>
      <c r="CI15" s="24">
        <f t="shared" si="35"/>
        <v>13170.350000000006</v>
      </c>
      <c r="CJ15" s="24">
        <f t="shared" si="35"/>
        <v>12681.62999999999</v>
      </c>
      <c r="CK15" s="24">
        <f t="shared" si="35"/>
        <v>10894.25</v>
      </c>
      <c r="CL15" s="24">
        <f t="shared" si="35"/>
        <v>10468.25</v>
      </c>
      <c r="CM15" s="24">
        <f t="shared" si="35"/>
        <v>9897</v>
      </c>
      <c r="CN15" s="24">
        <f t="shared" si="35"/>
        <v>7945</v>
      </c>
      <c r="CO15" s="24">
        <f t="shared" si="35"/>
        <v>8762.9799999999959</v>
      </c>
      <c r="CP15" s="24">
        <f t="shared" si="35"/>
        <v>6089.6100000000006</v>
      </c>
      <c r="CQ15" s="24">
        <f t="shared" si="35"/>
        <v>4447.4500000000044</v>
      </c>
      <c r="CR15" s="24">
        <f t="shared" si="35"/>
        <v>5308.1699999999983</v>
      </c>
      <c r="CS15" s="24">
        <f t="shared" si="35"/>
        <v>2776.8600000000006</v>
      </c>
      <c r="CT15" s="24">
        <f t="shared" si="35"/>
        <v>230.15999999999985</v>
      </c>
      <c r="CU15" s="24">
        <f t="shared" si="35"/>
        <v>12471.600000000006</v>
      </c>
      <c r="CV15" s="24">
        <f t="shared" si="35"/>
        <v>12685.283333333326</v>
      </c>
      <c r="CW15" s="24">
        <f t="shared" si="35"/>
        <v>10799.556666666656</v>
      </c>
      <c r="CX15" s="24">
        <f t="shared" si="35"/>
        <v>9478.320000000007</v>
      </c>
      <c r="CY15" s="24">
        <f t="shared" si="35"/>
        <v>7005.993333333332</v>
      </c>
      <c r="CZ15" s="24">
        <f t="shared" si="35"/>
        <v>4702.9066666666622</v>
      </c>
      <c r="DA15" s="24">
        <f t="shared" si="35"/>
        <v>4895.6500000000015</v>
      </c>
      <c r="DB15" s="24">
        <f t="shared" si="35"/>
        <v>4014.2633333333288</v>
      </c>
      <c r="DC15" s="24">
        <f t="shared" si="35"/>
        <v>2603.5266666666648</v>
      </c>
      <c r="DD15" s="24">
        <f t="shared" si="35"/>
        <v>951.34000000000015</v>
      </c>
      <c r="DE15" s="24">
        <f t="shared" si="35"/>
        <v>-236.95666666666875</v>
      </c>
      <c r="DF15" s="24">
        <f t="shared" si="35"/>
        <v>-2834.623333333333</v>
      </c>
      <c r="DG15" s="24">
        <f t="shared" si="35"/>
        <v>16447.546666666676</v>
      </c>
      <c r="DH15" s="24">
        <f t="shared" si="35"/>
        <v>15053.423333333354</v>
      </c>
      <c r="DI15" s="24">
        <f t="shared" si="35"/>
        <v>12257.429999999993</v>
      </c>
      <c r="DJ15" s="24">
        <f t="shared" si="35"/>
        <v>8906.506666666668</v>
      </c>
      <c r="DK15" s="24">
        <f t="shared" si="35"/>
        <v>12558.323333333348</v>
      </c>
      <c r="DL15" s="24">
        <f t="shared" si="35"/>
        <v>11053.489999999998</v>
      </c>
      <c r="DM15" s="24">
        <f t="shared" si="35"/>
        <v>7567.9566666666724</v>
      </c>
      <c r="DN15" s="24">
        <f t="shared" si="35"/>
        <v>4875.9433333333363</v>
      </c>
      <c r="DO15" s="24">
        <f t="shared" si="35"/>
        <v>3945.84</v>
      </c>
      <c r="DP15" s="24">
        <f t="shared" si="35"/>
        <v>6757.7366666666676</v>
      </c>
      <c r="DQ15" s="24">
        <f t="shared" si="35"/>
        <v>1408.8533333333326</v>
      </c>
      <c r="DR15" s="24">
        <f t="shared" si="35"/>
        <v>21466.300000000017</v>
      </c>
      <c r="DS15" s="24">
        <f t="shared" si="35"/>
        <v>20792.363333333327</v>
      </c>
      <c r="DT15" s="24">
        <f t="shared" si="35"/>
        <v>16897.84666666665</v>
      </c>
      <c r="DU15" s="24">
        <f t="shared" si="35"/>
        <v>14677.169999999998</v>
      </c>
      <c r="DV15" s="24">
        <f t="shared" si="35"/>
        <v>12073.743333333332</v>
      </c>
      <c r="DW15" s="24">
        <f t="shared" si="35"/>
        <v>9696.9766666666546</v>
      </c>
      <c r="DX15" s="24">
        <f t="shared" si="35"/>
        <v>8653.1800000000076</v>
      </c>
      <c r="DY15" s="24">
        <f t="shared" si="35"/>
        <v>5183.1933333333291</v>
      </c>
      <c r="DZ15" s="24">
        <f t="shared" si="35"/>
        <v>5055.1666666666642</v>
      </c>
      <c r="EA15" s="24">
        <f t="shared" si="35"/>
        <v>4984.6700000000019</v>
      </c>
      <c r="EB15" s="24">
        <f t="shared" si="35"/>
        <v>2793.8233333333301</v>
      </c>
      <c r="EC15" s="24">
        <f t="shared" si="35"/>
        <v>1382.786666666665</v>
      </c>
    </row>
    <row r="16" spans="1:13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7"/>
      <c r="BE16" s="17"/>
      <c r="BF16" s="17"/>
      <c r="BG16" s="17"/>
      <c r="BH16" s="15"/>
      <c r="BI16" s="17"/>
      <c r="BJ16" s="17"/>
      <c r="BK16" s="17"/>
      <c r="BL16" s="17"/>
      <c r="BM16" s="17"/>
      <c r="BN16" s="14"/>
      <c r="BO16" s="16"/>
      <c r="BP16" s="1"/>
      <c r="BQ16" s="1"/>
      <c r="BS16" s="37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</row>
    <row r="17" spans="1:133" ht="15.75" thickBot="1" x14ac:dyDescent="0.3">
      <c r="A17" s="1" t="s">
        <v>45</v>
      </c>
      <c r="D17" s="1" t="s">
        <v>46</v>
      </c>
      <c r="E17" s="27">
        <f t="shared" ref="E17:F17" si="36">+E15+E7+E11</f>
        <v>-85164.005000000005</v>
      </c>
      <c r="F17" s="27">
        <f t="shared" si="36"/>
        <v>-82776.897499999992</v>
      </c>
      <c r="G17" s="27">
        <f t="shared" ref="G17:H17" si="37">+G15+G7+G11</f>
        <v>-74531.786666666667</v>
      </c>
      <c r="H17" s="27">
        <f t="shared" si="37"/>
        <v>-66804.749166666676</v>
      </c>
      <c r="I17" s="27">
        <f t="shared" ref="I17:J17" si="38">+I15+I7+I11</f>
        <v>-57445.061666666676</v>
      </c>
      <c r="J17" s="27">
        <f t="shared" si="38"/>
        <v>-50501.574166666673</v>
      </c>
      <c r="K17" s="27">
        <f t="shared" ref="K17:L17" si="39">+K15+K7+K11</f>
        <v>-45849.576666666675</v>
      </c>
      <c r="L17" s="27">
        <f t="shared" si="39"/>
        <v>-41302.7425</v>
      </c>
      <c r="M17" s="27">
        <f t="shared" ref="M17:N17" si="40">+M15+M7+M11</f>
        <v>-33581.205000000002</v>
      </c>
      <c r="N17" s="27">
        <f t="shared" si="40"/>
        <v>-25766.487500000003</v>
      </c>
      <c r="O17" s="27">
        <f t="shared" ref="O17:BZ17" si="41">+O15+O7+O11</f>
        <v>-29468.443333333307</v>
      </c>
      <c r="P17" s="27">
        <f t="shared" si="41"/>
        <v>-22257.92666666667</v>
      </c>
      <c r="Q17" s="94">
        <f t="shared" si="41"/>
        <v>-21274.033333333333</v>
      </c>
      <c r="R17" s="84">
        <f t="shared" si="41"/>
        <v>-23105.020000000019</v>
      </c>
      <c r="S17" s="84">
        <f t="shared" si="41"/>
        <v>-22795.239999999972</v>
      </c>
      <c r="T17" s="84">
        <f t="shared" si="41"/>
        <v>-25839.039999999994</v>
      </c>
      <c r="U17" s="84">
        <f t="shared" si="41"/>
        <v>-23261.82666666666</v>
      </c>
      <c r="V17" s="84">
        <f t="shared" si="41"/>
        <v>-19808.250000000004</v>
      </c>
      <c r="W17" s="84">
        <f t="shared" si="41"/>
        <v>-13801.306666666665</v>
      </c>
      <c r="X17" s="84">
        <f t="shared" si="41"/>
        <v>-16602.156666666662</v>
      </c>
      <c r="Y17" s="84">
        <f t="shared" si="41"/>
        <v>-15772.136666666665</v>
      </c>
      <c r="Z17" s="84">
        <f t="shared" si="41"/>
        <v>-16010.033333333327</v>
      </c>
      <c r="AA17" s="84">
        <f t="shared" si="41"/>
        <v>-17548.53</v>
      </c>
      <c r="AB17" s="84">
        <f t="shared" si="41"/>
        <v>-16810.006666666657</v>
      </c>
      <c r="AC17" s="84">
        <f t="shared" si="41"/>
        <v>-15838.026666666658</v>
      </c>
      <c r="AD17" s="84">
        <f t="shared" si="41"/>
        <v>-18552.286666666667</v>
      </c>
      <c r="AE17" s="84">
        <f t="shared" si="41"/>
        <v>-23766.733333333326</v>
      </c>
      <c r="AF17" s="27">
        <f t="shared" si="41"/>
        <v>-23073.786666666652</v>
      </c>
      <c r="AG17" s="84">
        <f t="shared" si="41"/>
        <v>-20096.93</v>
      </c>
      <c r="AH17" s="84">
        <f t="shared" si="41"/>
        <v>-17542.303333333319</v>
      </c>
      <c r="AI17" s="84">
        <f t="shared" si="41"/>
        <v>-16549.893333333333</v>
      </c>
      <c r="AJ17" s="27">
        <f t="shared" si="41"/>
        <v>-17448.793333333335</v>
      </c>
      <c r="AK17" s="27">
        <f t="shared" si="41"/>
        <v>-17460.87666666666</v>
      </c>
      <c r="AL17" s="27">
        <f t="shared" si="41"/>
        <v>-17755.123333333333</v>
      </c>
      <c r="AM17" s="27">
        <f t="shared" si="41"/>
        <v>-4436.2200000000012</v>
      </c>
      <c r="AN17" s="27">
        <f t="shared" si="41"/>
        <v>-676.78666666665595</v>
      </c>
      <c r="AO17" s="27">
        <f t="shared" si="41"/>
        <v>-598.77333333332354</v>
      </c>
      <c r="AP17" s="27">
        <f t="shared" si="41"/>
        <v>-2732.070000000007</v>
      </c>
      <c r="AQ17" s="27">
        <f t="shared" si="41"/>
        <v>-6296.0366666666559</v>
      </c>
      <c r="AR17" s="27">
        <f t="shared" si="41"/>
        <v>-7397.2933333333294</v>
      </c>
      <c r="AS17" s="27">
        <f t="shared" si="41"/>
        <v>-7486.5200000000041</v>
      </c>
      <c r="AT17" s="27">
        <f t="shared" si="41"/>
        <v>-3547.7466666666551</v>
      </c>
      <c r="AU17" s="27">
        <f t="shared" si="41"/>
        <v>-4943.4833333333318</v>
      </c>
      <c r="AV17" s="27">
        <f t="shared" si="41"/>
        <v>-6198.1000000000058</v>
      </c>
      <c r="AW17" s="74">
        <f t="shared" si="41"/>
        <v>-4212.1466666666647</v>
      </c>
      <c r="AX17" s="27">
        <f t="shared" si="41"/>
        <v>-6279.8633333333328</v>
      </c>
      <c r="AY17" s="27">
        <f t="shared" si="41"/>
        <v>13323.100000000006</v>
      </c>
      <c r="AZ17" s="27">
        <f t="shared" si="41"/>
        <v>16946.233333333348</v>
      </c>
      <c r="BA17" s="27">
        <f t="shared" si="41"/>
        <v>14353.186666666683</v>
      </c>
      <c r="BB17" s="27">
        <f t="shared" si="41"/>
        <v>5994.4000000000087</v>
      </c>
      <c r="BC17" s="27">
        <f t="shared" si="41"/>
        <v>2440.2033333333347</v>
      </c>
      <c r="BD17" s="27">
        <f t="shared" si="41"/>
        <v>1053.0766666666805</v>
      </c>
      <c r="BE17" s="27">
        <f t="shared" si="41"/>
        <v>-1196.0699999999924</v>
      </c>
      <c r="BF17" s="27">
        <f t="shared" si="41"/>
        <v>-1004.6266666666525</v>
      </c>
      <c r="BG17" s="27">
        <f t="shared" si="41"/>
        <v>-4213.643333333328</v>
      </c>
      <c r="BH17" s="27">
        <f t="shared" si="41"/>
        <v>-7752.2800000000061</v>
      </c>
      <c r="BI17" s="27">
        <f t="shared" si="41"/>
        <v>-8619.1966666666631</v>
      </c>
      <c r="BJ17" s="27">
        <f t="shared" si="41"/>
        <v>-10903.053333333337</v>
      </c>
      <c r="BK17" s="27">
        <f t="shared" si="41"/>
        <v>16214.201428571429</v>
      </c>
      <c r="BL17" s="27">
        <f t="shared" si="41"/>
        <v>15068.000476190478</v>
      </c>
      <c r="BM17" s="27">
        <f t="shared" si="41"/>
        <v>13843.749523809525</v>
      </c>
      <c r="BN17" s="27">
        <f t="shared" si="41"/>
        <v>8660.2100000000064</v>
      </c>
      <c r="BO17" s="27">
        <f t="shared" si="41"/>
        <v>5978.1990476190585</v>
      </c>
      <c r="BP17" s="27">
        <f t="shared" si="41"/>
        <v>897.27238095240136</v>
      </c>
      <c r="BQ17" s="27">
        <f t="shared" si="41"/>
        <v>1204.1199999999953</v>
      </c>
      <c r="BR17" s="27">
        <f t="shared" si="41"/>
        <v>368.0033333333522</v>
      </c>
      <c r="BS17" s="56">
        <f t="shared" si="41"/>
        <v>-1393.3933333333352</v>
      </c>
      <c r="BT17" s="27">
        <f t="shared" si="41"/>
        <v>-2305.9400000000023</v>
      </c>
      <c r="BU17" s="27">
        <f t="shared" si="41"/>
        <v>-1956.9766666666628</v>
      </c>
      <c r="BV17" s="27">
        <f t="shared" si="41"/>
        <v>-986.34333333332734</v>
      </c>
      <c r="BW17" s="27">
        <f t="shared" si="41"/>
        <v>-1152.8199999999888</v>
      </c>
      <c r="BX17" s="27">
        <f t="shared" si="41"/>
        <v>1302.8175757575591</v>
      </c>
      <c r="BY17" s="27">
        <f t="shared" si="41"/>
        <v>1014.4033333333427</v>
      </c>
      <c r="BZ17" s="27">
        <f t="shared" si="41"/>
        <v>-242.6933333333327</v>
      </c>
      <c r="CA17" s="27">
        <f t="shared" ref="CA17:DQ17" si="42">+CA15+CA7+CA11</f>
        <v>-588.38333333333503</v>
      </c>
      <c r="CB17" s="27">
        <f t="shared" si="42"/>
        <v>-2494.6452380952451</v>
      </c>
      <c r="CC17" s="27">
        <f t="shared" si="42"/>
        <v>629.36000000000422</v>
      </c>
      <c r="CD17" s="27">
        <f t="shared" si="42"/>
        <v>-431.77333333333081</v>
      </c>
      <c r="CE17" s="27">
        <f t="shared" si="42"/>
        <v>-415.62666666667246</v>
      </c>
      <c r="CF17" s="27">
        <f t="shared" si="42"/>
        <v>-1020.8399999999965</v>
      </c>
      <c r="CG17" s="27">
        <f t="shared" si="42"/>
        <v>-3258.7233333333324</v>
      </c>
      <c r="CH17" s="27">
        <f t="shared" si="42"/>
        <v>-4532.8166666666657</v>
      </c>
      <c r="CI17" s="27">
        <f t="shared" si="42"/>
        <v>11684.929999999989</v>
      </c>
      <c r="CJ17" s="27">
        <f t="shared" si="42"/>
        <v>11599.576363636354</v>
      </c>
      <c r="CK17" s="27">
        <f t="shared" si="42"/>
        <v>10191.159999999989</v>
      </c>
      <c r="CL17" s="27">
        <f t="shared" si="42"/>
        <v>8292.9833333333318</v>
      </c>
      <c r="CM17" s="27">
        <f t="shared" si="42"/>
        <v>6203.359999999986</v>
      </c>
      <c r="CN17" s="27">
        <f t="shared" si="42"/>
        <v>4735.1799999999912</v>
      </c>
      <c r="CO17" s="27">
        <f t="shared" si="42"/>
        <v>5633.7499999999891</v>
      </c>
      <c r="CP17" s="27">
        <f t="shared" si="42"/>
        <v>3507.9899999999975</v>
      </c>
      <c r="CQ17" s="27">
        <f t="shared" si="42"/>
        <v>750.90000000000146</v>
      </c>
      <c r="CR17" s="27">
        <f t="shared" si="42"/>
        <v>1411.2400000000021</v>
      </c>
      <c r="CS17" s="27">
        <f t="shared" si="42"/>
        <v>-723.47000000000116</v>
      </c>
      <c r="CT17" s="27">
        <f t="shared" si="42"/>
        <v>-2156.2199999999975</v>
      </c>
      <c r="CU17" s="27">
        <f t="shared" si="42"/>
        <v>9155.6400000000103</v>
      </c>
      <c r="CV17" s="27">
        <f t="shared" si="42"/>
        <v>10807.483939393935</v>
      </c>
      <c r="CW17" s="27">
        <f t="shared" si="42"/>
        <v>9791.9933333333211</v>
      </c>
      <c r="CX17" s="27">
        <f t="shared" si="42"/>
        <v>9580.8800000000047</v>
      </c>
      <c r="CY17" s="27">
        <f t="shared" si="42"/>
        <v>7095.1266666666634</v>
      </c>
      <c r="CZ17" s="27">
        <f t="shared" si="42"/>
        <v>5815.6233333333275</v>
      </c>
      <c r="DA17" s="27">
        <f t="shared" si="42"/>
        <v>6407.7599999999984</v>
      </c>
      <c r="DB17" s="27">
        <f t="shared" si="42"/>
        <v>4384.9066666666658</v>
      </c>
      <c r="DC17" s="27">
        <f t="shared" si="42"/>
        <v>3660.0233333333254</v>
      </c>
      <c r="DD17" s="27">
        <f t="shared" si="42"/>
        <v>2602.6199999999953</v>
      </c>
      <c r="DE17" s="27">
        <f t="shared" si="42"/>
        <v>-1339.2033333333302</v>
      </c>
      <c r="DF17" s="27">
        <f t="shared" si="42"/>
        <v>-3836.1066666666679</v>
      </c>
      <c r="DG17" s="27">
        <f t="shared" si="42"/>
        <v>17322.449696969721</v>
      </c>
      <c r="DH17" s="27">
        <f t="shared" si="42"/>
        <v>12404.956666666694</v>
      </c>
      <c r="DI17" s="27">
        <f t="shared" si="42"/>
        <v>2144.44333333332</v>
      </c>
      <c r="DJ17" s="27">
        <f t="shared" si="42"/>
        <v>125.85333333332892</v>
      </c>
      <c r="DK17" s="27">
        <f t="shared" si="42"/>
        <v>5340.4066666666804</v>
      </c>
      <c r="DL17" s="27">
        <f t="shared" si="42"/>
        <v>6002.229999999985</v>
      </c>
      <c r="DM17" s="27">
        <f t="shared" si="42"/>
        <v>3429.9533333333275</v>
      </c>
      <c r="DN17" s="27">
        <f t="shared" si="42"/>
        <v>2939.1866666666738</v>
      </c>
      <c r="DO17" s="27">
        <f t="shared" si="42"/>
        <v>2303.2100000000132</v>
      </c>
      <c r="DP17" s="27">
        <f t="shared" si="42"/>
        <v>4287.1933333333427</v>
      </c>
      <c r="DQ17" s="27">
        <f t="shared" si="42"/>
        <v>1576.6766666666713</v>
      </c>
      <c r="DR17" s="27">
        <f t="shared" ref="DR17:EC17" si="43">+DR15+DR7</f>
        <v>16823.390909090929</v>
      </c>
      <c r="DS17" s="27">
        <f t="shared" si="43"/>
        <v>16149.454242424239</v>
      </c>
      <c r="DT17" s="27">
        <f t="shared" si="43"/>
        <v>12160.246666666651</v>
      </c>
      <c r="DU17" s="27">
        <f t="shared" si="43"/>
        <v>9842.5033333333322</v>
      </c>
      <c r="DV17" s="27">
        <f t="shared" si="43"/>
        <v>7159.743333333332</v>
      </c>
      <c r="DW17" s="27">
        <f t="shared" si="43"/>
        <v>4728.9766666666574</v>
      </c>
      <c r="DX17" s="27">
        <f t="shared" si="43"/>
        <v>3641.1800000000112</v>
      </c>
      <c r="DY17" s="27">
        <f t="shared" si="43"/>
        <v>176.79333333332761</v>
      </c>
      <c r="DZ17" s="27">
        <f t="shared" si="43"/>
        <v>141.16666666666424</v>
      </c>
      <c r="EA17" s="27">
        <f t="shared" si="43"/>
        <v>-559.32999999999811</v>
      </c>
      <c r="EB17" s="27">
        <f t="shared" si="43"/>
        <v>-1658.1766666666699</v>
      </c>
      <c r="EC17" s="27">
        <f t="shared" si="43"/>
        <v>-2145.213333333335</v>
      </c>
    </row>
    <row r="18" spans="1:13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7"/>
      <c r="BE18" s="17"/>
      <c r="BF18" s="17"/>
      <c r="BG18" s="17"/>
      <c r="BH18" s="15"/>
      <c r="BI18" s="17"/>
      <c r="BJ18" s="17"/>
      <c r="BK18" s="17"/>
      <c r="BL18" s="17"/>
      <c r="BM18" s="17"/>
      <c r="BN18" s="14"/>
      <c r="BO18" s="16"/>
      <c r="BP18" s="1"/>
      <c r="BQ18" s="1"/>
      <c r="BS18" s="37"/>
    </row>
    <row r="19" spans="1:133" x14ac:dyDescent="0.25">
      <c r="A19" s="75" t="s">
        <v>47</v>
      </c>
      <c r="D19" s="1" t="s">
        <v>48</v>
      </c>
      <c r="E19" s="26">
        <v>181018.63</v>
      </c>
      <c r="F19" s="26">
        <v>186250.34</v>
      </c>
      <c r="G19" s="26">
        <v>191509.31</v>
      </c>
      <c r="H19" s="26">
        <v>196077.57</v>
      </c>
      <c r="I19" s="26">
        <v>202896.69</v>
      </c>
      <c r="J19" s="26">
        <v>209087.21</v>
      </c>
      <c r="K19" s="26">
        <v>216854.96</v>
      </c>
      <c r="L19" s="26">
        <v>206840.68</v>
      </c>
      <c r="M19" s="26">
        <v>204640.3</v>
      </c>
      <c r="N19" s="26">
        <v>206498.38</v>
      </c>
      <c r="O19" s="26">
        <v>206602.87</v>
      </c>
      <c r="P19" s="26">
        <v>205718.89</v>
      </c>
      <c r="Q19" s="93">
        <v>208325.66</v>
      </c>
      <c r="R19" s="50">
        <v>212593.24</v>
      </c>
      <c r="S19" s="50">
        <v>224564.19</v>
      </c>
      <c r="T19" s="50">
        <v>221693.38</v>
      </c>
      <c r="U19" s="50">
        <v>228485.13</v>
      </c>
      <c r="V19" s="50">
        <v>247712.69</v>
      </c>
      <c r="W19" s="50">
        <v>231128.26</v>
      </c>
      <c r="X19" s="50">
        <v>226942.72</v>
      </c>
      <c r="Y19" s="50">
        <v>231145.60000000001</v>
      </c>
      <c r="Z19" s="50">
        <v>231734.62</v>
      </c>
      <c r="AA19" s="50">
        <v>230870.1</v>
      </c>
      <c r="AB19" s="50">
        <v>222921.39</v>
      </c>
      <c r="AC19" s="50">
        <v>225076.97</v>
      </c>
      <c r="AD19" s="50">
        <v>228167.57</v>
      </c>
      <c r="AE19" s="50">
        <v>227035.81</v>
      </c>
      <c r="AF19" s="50">
        <v>229268.95</v>
      </c>
      <c r="AG19" s="50">
        <v>234617.17</v>
      </c>
      <c r="AH19" s="50">
        <v>240790.82</v>
      </c>
      <c r="AI19" s="50">
        <v>249066.92</v>
      </c>
      <c r="AJ19" s="50">
        <v>243120.21</v>
      </c>
      <c r="AK19" s="50">
        <v>241131.46</v>
      </c>
      <c r="AL19" s="50">
        <v>242033.65</v>
      </c>
      <c r="AM19" s="50">
        <v>244725.1</v>
      </c>
      <c r="AN19" s="50">
        <v>226625.55</v>
      </c>
      <c r="AO19" s="50">
        <v>226608.28</v>
      </c>
      <c r="AP19" s="50">
        <v>229510.33</v>
      </c>
      <c r="AQ19" s="50">
        <v>232511.29</v>
      </c>
      <c r="AR19" s="50">
        <v>234286.13</v>
      </c>
      <c r="AS19" s="50">
        <v>236172.23</v>
      </c>
      <c r="AT19" s="50">
        <v>242756.93</v>
      </c>
      <c r="AU19" s="50">
        <v>247702.06</v>
      </c>
      <c r="AV19" s="50">
        <v>235877.87</v>
      </c>
      <c r="AW19" s="50">
        <v>234462.44</v>
      </c>
      <c r="AX19" s="50">
        <v>232551.07</v>
      </c>
      <c r="AY19" s="50">
        <v>227223.46</v>
      </c>
      <c r="AZ19" s="50">
        <v>222291.28</v>
      </c>
      <c r="BA19" s="50">
        <v>222964.41</v>
      </c>
      <c r="BB19" s="50">
        <v>220065.09</v>
      </c>
      <c r="BC19" s="50">
        <v>219445.58</v>
      </c>
      <c r="BD19" s="50">
        <v>221905.46</v>
      </c>
      <c r="BE19" s="50">
        <v>221376.32</v>
      </c>
      <c r="BF19" s="50">
        <v>226540.87</v>
      </c>
      <c r="BG19" s="50">
        <v>228537.46</v>
      </c>
      <c r="BH19" s="50">
        <v>218238.76</v>
      </c>
      <c r="BI19" s="50">
        <v>217631.22</v>
      </c>
      <c r="BJ19" s="50">
        <v>215799.79</v>
      </c>
      <c r="BK19" s="50">
        <v>213717.5</v>
      </c>
      <c r="BL19" s="50">
        <v>200455.16</v>
      </c>
      <c r="BM19" s="50">
        <v>199174.08</v>
      </c>
      <c r="BN19" s="18">
        <v>198871.91</v>
      </c>
      <c r="BO19" s="18">
        <v>201633.03</v>
      </c>
      <c r="BP19" s="26">
        <v>198427.36</v>
      </c>
      <c r="BQ19" s="9">
        <v>201764.75</v>
      </c>
      <c r="BR19" s="9">
        <v>204090.18</v>
      </c>
      <c r="BS19" s="11">
        <v>204811.16</v>
      </c>
      <c r="BT19" s="9">
        <v>207426.69</v>
      </c>
      <c r="BU19" s="9">
        <v>208671.66</v>
      </c>
      <c r="BV19" s="9">
        <v>205831.41</v>
      </c>
      <c r="BW19" s="9">
        <v>196400.27</v>
      </c>
      <c r="BX19" s="9">
        <v>183372.72</v>
      </c>
      <c r="BY19" s="9">
        <v>187318.57</v>
      </c>
      <c r="BZ19" s="9">
        <v>192689.72</v>
      </c>
      <c r="CA19" s="9">
        <v>196488.25</v>
      </c>
      <c r="CB19" s="9">
        <v>199939.96</v>
      </c>
      <c r="CC19" s="9">
        <v>206509.62</v>
      </c>
      <c r="CD19" s="9">
        <v>208026.37</v>
      </c>
      <c r="CE19" s="9">
        <v>226589.55</v>
      </c>
      <c r="CF19" s="9">
        <v>236966</v>
      </c>
      <c r="CG19" s="9">
        <v>216536.92</v>
      </c>
      <c r="CH19" s="9">
        <v>208852.88</v>
      </c>
      <c r="CI19" s="9">
        <v>208084.34</v>
      </c>
      <c r="CJ19" s="9">
        <v>190910.57</v>
      </c>
      <c r="CK19" s="9">
        <v>195109.54</v>
      </c>
      <c r="CL19" s="9">
        <v>196661.4</v>
      </c>
      <c r="CM19" s="9">
        <v>198062.31</v>
      </c>
      <c r="CN19" s="9">
        <v>201360.67</v>
      </c>
      <c r="CO19" s="9">
        <v>205295.41</v>
      </c>
      <c r="CP19" s="9">
        <v>222436.86</v>
      </c>
      <c r="CQ19" s="9">
        <v>223214.74</v>
      </c>
      <c r="CR19" s="9">
        <v>225441.26</v>
      </c>
      <c r="CS19" s="9">
        <v>200070.68</v>
      </c>
      <c r="CT19" s="9">
        <v>190292.37</v>
      </c>
      <c r="CU19" s="25">
        <v>183451.03</v>
      </c>
      <c r="CV19" s="25">
        <v>165527.87</v>
      </c>
      <c r="CW19" s="25">
        <v>169705.41</v>
      </c>
      <c r="CX19" s="25">
        <v>171598.07</v>
      </c>
      <c r="CY19" s="25">
        <v>171675.05</v>
      </c>
      <c r="CZ19" s="10">
        <v>174179.87</v>
      </c>
      <c r="DA19" s="10">
        <v>196037.68</v>
      </c>
      <c r="DB19" s="10">
        <v>201222.8</v>
      </c>
      <c r="DC19" s="10">
        <v>199351.59</v>
      </c>
      <c r="DD19" s="10">
        <v>182578.38</v>
      </c>
      <c r="DE19" s="10">
        <v>172974.49</v>
      </c>
      <c r="DF19" s="10">
        <v>168857.21</v>
      </c>
      <c r="DG19" s="10">
        <v>138236.38</v>
      </c>
      <c r="DH19" s="10">
        <v>139914.1</v>
      </c>
      <c r="DI19" s="10">
        <v>136897.97</v>
      </c>
      <c r="DJ19" s="10">
        <v>133154.15</v>
      </c>
      <c r="DK19" s="10">
        <v>141056.29</v>
      </c>
      <c r="DL19" s="10">
        <v>146472.87</v>
      </c>
      <c r="DM19" s="10">
        <v>171294.25</v>
      </c>
      <c r="DN19" s="10">
        <v>171543.28</v>
      </c>
      <c r="DO19" s="10">
        <v>155924.75</v>
      </c>
      <c r="DP19" s="10">
        <v>154498.1</v>
      </c>
      <c r="DQ19" s="10">
        <v>152371.14000000001</v>
      </c>
      <c r="DR19" s="10">
        <v>120388.32</v>
      </c>
      <c r="DS19" s="10">
        <v>99920.19</v>
      </c>
      <c r="DT19" s="10">
        <v>101238.88</v>
      </c>
      <c r="DU19" s="10">
        <v>105639.09</v>
      </c>
      <c r="DV19" s="10">
        <v>108992.54</v>
      </c>
      <c r="DW19" s="10">
        <v>112437.44</v>
      </c>
      <c r="DX19" s="10">
        <v>113633.69</v>
      </c>
      <c r="DY19" s="10">
        <v>115805.19</v>
      </c>
      <c r="DZ19" s="10">
        <v>157672.74</v>
      </c>
      <c r="EA19" s="10">
        <v>164947.21</v>
      </c>
      <c r="EB19" s="10">
        <v>154575.5</v>
      </c>
      <c r="EC19" s="10">
        <v>151253.48000000001</v>
      </c>
    </row>
    <row r="20" spans="1:13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50">
        <v>-49286.32</v>
      </c>
      <c r="BG20" s="50">
        <v>-49286.32</v>
      </c>
      <c r="BH20" s="50">
        <v>-49286.32</v>
      </c>
      <c r="BI20" s="50">
        <v>-49286.32</v>
      </c>
      <c r="BJ20" s="50">
        <v>-49286.32</v>
      </c>
      <c r="BK20" s="50">
        <v>-49286.32</v>
      </c>
      <c r="BL20" s="50">
        <v>-49286.32</v>
      </c>
      <c r="BM20" s="50">
        <v>-49286.32</v>
      </c>
      <c r="BN20" s="18">
        <v>-49286.32</v>
      </c>
      <c r="BO20" s="18">
        <v>-49286.32</v>
      </c>
      <c r="BP20" s="26">
        <v>-49286.32</v>
      </c>
      <c r="BQ20" s="9">
        <v>-49286.32</v>
      </c>
      <c r="BR20" s="9">
        <v>-52772.84</v>
      </c>
      <c r="BS20" s="11">
        <v>-52772.84</v>
      </c>
      <c r="BT20" s="9">
        <v>-52772.84</v>
      </c>
      <c r="BU20" s="9">
        <v>-52772.84</v>
      </c>
      <c r="BV20" s="9">
        <v>-52772.84</v>
      </c>
      <c r="BW20" s="9">
        <v>-49435.3</v>
      </c>
      <c r="BX20" s="9">
        <v>-49435.3</v>
      </c>
      <c r="BY20" s="9">
        <v>-49435.3</v>
      </c>
      <c r="BZ20" s="9">
        <v>-49435.3</v>
      </c>
      <c r="CA20" s="9">
        <v>-49435.3</v>
      </c>
      <c r="CB20" s="9">
        <v>-49435.3</v>
      </c>
      <c r="CC20" s="9">
        <v>-49435.3</v>
      </c>
      <c r="CD20" s="9">
        <v>-49435.3</v>
      </c>
      <c r="CE20" s="9">
        <v>-49435.3</v>
      </c>
      <c r="CF20" s="9">
        <v>-49435.3</v>
      </c>
      <c r="CG20" s="9">
        <v>-49435.3</v>
      </c>
      <c r="CH20" s="9">
        <v>-49435.3</v>
      </c>
      <c r="CI20" s="9">
        <v>-49532.62</v>
      </c>
      <c r="CJ20" s="9">
        <v>-49532.62</v>
      </c>
      <c r="CK20" s="9">
        <v>-49532.62</v>
      </c>
      <c r="CL20" s="9">
        <v>-49532.62</v>
      </c>
      <c r="CM20" s="9">
        <v>-49532.62</v>
      </c>
      <c r="CN20" s="9">
        <v>-49532.62</v>
      </c>
      <c r="CO20" s="9">
        <v>-49532.62</v>
      </c>
      <c r="CP20" s="9">
        <v>-49532.62</v>
      </c>
      <c r="CQ20" s="9">
        <v>-49532.62</v>
      </c>
      <c r="CR20" s="9">
        <v>-49532.62</v>
      </c>
      <c r="CS20" s="9">
        <v>-49532.62</v>
      </c>
      <c r="CT20" s="9">
        <v>-49532.62</v>
      </c>
      <c r="CU20" s="26">
        <v>-50647.44</v>
      </c>
      <c r="CV20" s="26">
        <v>-48110.63</v>
      </c>
      <c r="CW20" s="26">
        <v>-47041.58</v>
      </c>
      <c r="CX20" s="26">
        <v>-47041.58</v>
      </c>
      <c r="CY20" s="26">
        <v>-47041.58</v>
      </c>
      <c r="CZ20" s="10">
        <v>-47041.58</v>
      </c>
      <c r="DA20" s="10">
        <v>-47041.58</v>
      </c>
      <c r="DB20" s="10">
        <v>-47041.58</v>
      </c>
      <c r="DC20" s="10">
        <v>-47041.58</v>
      </c>
      <c r="DD20" s="10">
        <v>-47041.58</v>
      </c>
      <c r="DE20" s="10">
        <v>-47041.58</v>
      </c>
      <c r="DF20" s="10">
        <v>-47041.58</v>
      </c>
      <c r="DG20" s="10">
        <v>-46210.35</v>
      </c>
      <c r="DH20" s="10">
        <v>-46210.35</v>
      </c>
      <c r="DI20" s="10">
        <v>-46210.35</v>
      </c>
      <c r="DJ20" s="10">
        <v>-46210.35</v>
      </c>
      <c r="DK20" s="10">
        <v>-46210.35</v>
      </c>
      <c r="DL20" s="10">
        <v>-46210.35</v>
      </c>
      <c r="DM20" s="10">
        <v>-46210.35</v>
      </c>
      <c r="DN20" s="10">
        <v>-46210.35</v>
      </c>
      <c r="DO20" s="10">
        <v>-46210.35</v>
      </c>
      <c r="DP20" s="10">
        <v>-46210.35</v>
      </c>
      <c r="DQ20" s="10">
        <v>-46210.35</v>
      </c>
      <c r="DR20" s="10">
        <v>-47919.53</v>
      </c>
      <c r="DS20" s="10">
        <v>-47919.53</v>
      </c>
      <c r="DT20" s="10">
        <v>-47919.53</v>
      </c>
      <c r="DU20" s="10">
        <v>-47919.53</v>
      </c>
      <c r="DV20" s="10">
        <v>-47919.53</v>
      </c>
      <c r="DW20" s="10">
        <v>-47919.53</v>
      </c>
      <c r="DX20" s="10">
        <v>-47919.53</v>
      </c>
      <c r="DY20" s="10">
        <v>-47919.53</v>
      </c>
      <c r="DZ20" s="10">
        <v>-47919.53</v>
      </c>
      <c r="EA20" s="10">
        <v>-47919.53</v>
      </c>
      <c r="EB20" s="10">
        <v>-47919.53</v>
      </c>
      <c r="EC20" s="10">
        <v>-47919.53</v>
      </c>
    </row>
    <row r="21" spans="1:133" ht="15.75" customHeight="1" x14ac:dyDescent="0.25">
      <c r="A21" s="1" t="s">
        <v>45</v>
      </c>
      <c r="E21" s="28">
        <f t="shared" ref="E21:F21" si="44">SUM(E19:E20)</f>
        <v>131732.31</v>
      </c>
      <c r="F21" s="28">
        <f t="shared" si="44"/>
        <v>136964.01999999999</v>
      </c>
      <c r="G21" s="28">
        <f t="shared" ref="G21:H21" si="45">SUM(G19:G20)</f>
        <v>142222.99</v>
      </c>
      <c r="H21" s="28">
        <f t="shared" si="45"/>
        <v>146791.25</v>
      </c>
      <c r="I21" s="28">
        <f t="shared" ref="I21:J21" si="46">SUM(I19:I20)</f>
        <v>153610.37</v>
      </c>
      <c r="J21" s="28">
        <f t="shared" si="46"/>
        <v>159800.88999999998</v>
      </c>
      <c r="K21" s="28">
        <f t="shared" ref="K21:L21" si="47">SUM(K19:K20)</f>
        <v>167568.63999999998</v>
      </c>
      <c r="L21" s="28">
        <f t="shared" si="47"/>
        <v>157554.35999999999</v>
      </c>
      <c r="M21" s="28">
        <f t="shared" ref="M21:N21" si="48">SUM(M19:M20)</f>
        <v>155353.97999999998</v>
      </c>
      <c r="N21" s="28">
        <f t="shared" si="48"/>
        <v>157212.06</v>
      </c>
      <c r="O21" s="28">
        <f t="shared" ref="O21:P21" si="49">SUM(O19:O20)</f>
        <v>157316.54999999999</v>
      </c>
      <c r="P21" s="28">
        <f t="shared" si="49"/>
        <v>156432.57</v>
      </c>
      <c r="Q21" s="95">
        <f t="shared" ref="Q21:CB21" si="50">SUM(Q19:Q20)</f>
        <v>159039.34</v>
      </c>
      <c r="R21" s="82">
        <f t="shared" si="50"/>
        <v>163306.91999999998</v>
      </c>
      <c r="S21" s="82">
        <f t="shared" si="50"/>
        <v>175277.87</v>
      </c>
      <c r="T21" s="82">
        <f t="shared" si="50"/>
        <v>172407.06</v>
      </c>
      <c r="U21" s="82">
        <f t="shared" si="50"/>
        <v>179198.81</v>
      </c>
      <c r="V21" s="82">
        <f t="shared" si="50"/>
        <v>198426.37</v>
      </c>
      <c r="W21" s="82">
        <f t="shared" si="50"/>
        <v>181841.94</v>
      </c>
      <c r="X21" s="82">
        <f t="shared" si="50"/>
        <v>177656.4</v>
      </c>
      <c r="Y21" s="82">
        <f t="shared" si="50"/>
        <v>181859.28</v>
      </c>
      <c r="Z21" s="82">
        <f t="shared" si="50"/>
        <v>182448.3</v>
      </c>
      <c r="AA21" s="82">
        <f t="shared" si="50"/>
        <v>181583.78</v>
      </c>
      <c r="AB21" s="82">
        <f t="shared" si="50"/>
        <v>173635.07</v>
      </c>
      <c r="AC21" s="82">
        <f t="shared" si="50"/>
        <v>175790.65</v>
      </c>
      <c r="AD21" s="82">
        <f t="shared" si="50"/>
        <v>178881.25</v>
      </c>
      <c r="AE21" s="82">
        <f t="shared" si="50"/>
        <v>177749.49</v>
      </c>
      <c r="AF21" s="28">
        <f t="shared" si="50"/>
        <v>179982.63</v>
      </c>
      <c r="AG21" s="82">
        <f t="shared" si="50"/>
        <v>185330.85</v>
      </c>
      <c r="AH21" s="82">
        <f t="shared" si="50"/>
        <v>191504.5</v>
      </c>
      <c r="AI21" s="82">
        <f t="shared" si="50"/>
        <v>199780.6</v>
      </c>
      <c r="AJ21" s="28">
        <f t="shared" si="50"/>
        <v>193833.88999999998</v>
      </c>
      <c r="AK21" s="28">
        <f t="shared" si="50"/>
        <v>191845.13999999998</v>
      </c>
      <c r="AL21" s="28">
        <f t="shared" si="50"/>
        <v>192747.33</v>
      </c>
      <c r="AM21" s="28">
        <f t="shared" si="50"/>
        <v>195438.78</v>
      </c>
      <c r="AN21" s="28">
        <f t="shared" si="50"/>
        <v>177339.22999999998</v>
      </c>
      <c r="AO21" s="28">
        <f t="shared" si="50"/>
        <v>177321.96</v>
      </c>
      <c r="AP21" s="28">
        <f t="shared" si="50"/>
        <v>180224.00999999998</v>
      </c>
      <c r="AQ21" s="28">
        <f t="shared" si="50"/>
        <v>183224.97</v>
      </c>
      <c r="AR21" s="28">
        <f t="shared" si="50"/>
        <v>184999.81</v>
      </c>
      <c r="AS21" s="28">
        <f t="shared" si="50"/>
        <v>186885.91</v>
      </c>
      <c r="AT21" s="28">
        <f t="shared" si="50"/>
        <v>193470.61</v>
      </c>
      <c r="AU21" s="28">
        <f t="shared" si="50"/>
        <v>198415.74</v>
      </c>
      <c r="AV21" s="28">
        <f t="shared" si="50"/>
        <v>186591.55</v>
      </c>
      <c r="AW21" s="28">
        <f t="shared" si="50"/>
        <v>185176.12</v>
      </c>
      <c r="AX21" s="28">
        <f t="shared" si="50"/>
        <v>183264.75</v>
      </c>
      <c r="AY21" s="28">
        <f t="shared" si="50"/>
        <v>177937.13999999998</v>
      </c>
      <c r="AZ21" s="28">
        <f t="shared" si="50"/>
        <v>173004.96</v>
      </c>
      <c r="BA21" s="28">
        <f t="shared" si="50"/>
        <v>173678.09</v>
      </c>
      <c r="BB21" s="28">
        <f t="shared" si="50"/>
        <v>170778.77</v>
      </c>
      <c r="BC21" s="28">
        <f t="shared" si="50"/>
        <v>170159.25999999998</v>
      </c>
      <c r="BD21" s="28">
        <f t="shared" si="50"/>
        <v>172619.13999999998</v>
      </c>
      <c r="BE21" s="28">
        <f t="shared" si="50"/>
        <v>172090</v>
      </c>
      <c r="BF21" s="28">
        <f t="shared" si="50"/>
        <v>177254.55</v>
      </c>
      <c r="BG21" s="28">
        <f t="shared" si="50"/>
        <v>179251.13999999998</v>
      </c>
      <c r="BH21" s="28">
        <f t="shared" si="50"/>
        <v>168952.44</v>
      </c>
      <c r="BI21" s="28">
        <f t="shared" si="50"/>
        <v>168344.9</v>
      </c>
      <c r="BJ21" s="28">
        <f t="shared" si="50"/>
        <v>166513.47</v>
      </c>
      <c r="BK21" s="28">
        <f t="shared" si="50"/>
        <v>164431.18</v>
      </c>
      <c r="BL21" s="28">
        <f t="shared" si="50"/>
        <v>151168.84</v>
      </c>
      <c r="BM21" s="28">
        <f t="shared" si="50"/>
        <v>149887.75999999998</v>
      </c>
      <c r="BN21" s="28">
        <f t="shared" si="50"/>
        <v>149585.59</v>
      </c>
      <c r="BO21" s="28">
        <f t="shared" si="50"/>
        <v>152346.71</v>
      </c>
      <c r="BP21" s="57">
        <f t="shared" si="50"/>
        <v>149141.03999999998</v>
      </c>
      <c r="BQ21" s="28">
        <f t="shared" si="50"/>
        <v>152478.43</v>
      </c>
      <c r="BR21" s="28">
        <f t="shared" si="50"/>
        <v>151317.34</v>
      </c>
      <c r="BS21" s="58">
        <f t="shared" si="50"/>
        <v>152038.32</v>
      </c>
      <c r="BT21" s="28">
        <f t="shared" si="50"/>
        <v>154653.85</v>
      </c>
      <c r="BU21" s="28">
        <f t="shared" si="50"/>
        <v>155898.82</v>
      </c>
      <c r="BV21" s="28">
        <f t="shared" si="50"/>
        <v>153058.57</v>
      </c>
      <c r="BW21" s="28">
        <f t="shared" si="50"/>
        <v>146964.96999999997</v>
      </c>
      <c r="BX21" s="28">
        <f t="shared" si="50"/>
        <v>133937.41999999998</v>
      </c>
      <c r="BY21" s="28">
        <f t="shared" si="50"/>
        <v>137883.27000000002</v>
      </c>
      <c r="BZ21" s="28">
        <f t="shared" si="50"/>
        <v>143254.41999999998</v>
      </c>
      <c r="CA21" s="28">
        <f t="shared" si="50"/>
        <v>147052.95000000001</v>
      </c>
      <c r="CB21" s="28">
        <f t="shared" si="50"/>
        <v>150504.65999999997</v>
      </c>
      <c r="CC21" s="28">
        <f t="shared" ref="CC21:EC21" si="51">SUM(CC19:CC20)</f>
        <v>157074.32</v>
      </c>
      <c r="CD21" s="28">
        <f t="shared" si="51"/>
        <v>158591.07</v>
      </c>
      <c r="CE21" s="28">
        <f t="shared" si="51"/>
        <v>177154.25</v>
      </c>
      <c r="CF21" s="28">
        <f t="shared" si="51"/>
        <v>187530.7</v>
      </c>
      <c r="CG21" s="28">
        <f t="shared" si="51"/>
        <v>167101.62</v>
      </c>
      <c r="CH21" s="28">
        <f t="shared" si="51"/>
        <v>159417.58000000002</v>
      </c>
      <c r="CI21" s="28">
        <f t="shared" si="51"/>
        <v>158551.72</v>
      </c>
      <c r="CJ21" s="28">
        <f t="shared" si="51"/>
        <v>141377.95000000001</v>
      </c>
      <c r="CK21" s="28">
        <f t="shared" si="51"/>
        <v>145576.92000000001</v>
      </c>
      <c r="CL21" s="28">
        <f t="shared" si="51"/>
        <v>147128.78</v>
      </c>
      <c r="CM21" s="28">
        <f t="shared" si="51"/>
        <v>148529.69</v>
      </c>
      <c r="CN21" s="28">
        <f t="shared" si="51"/>
        <v>151828.05000000002</v>
      </c>
      <c r="CO21" s="28">
        <f t="shared" si="51"/>
        <v>155762.79</v>
      </c>
      <c r="CP21" s="28">
        <f t="shared" si="51"/>
        <v>172904.24</v>
      </c>
      <c r="CQ21" s="28">
        <f t="shared" si="51"/>
        <v>173682.12</v>
      </c>
      <c r="CR21" s="28">
        <f t="shared" si="51"/>
        <v>175908.64</v>
      </c>
      <c r="CS21" s="28">
        <f t="shared" si="51"/>
        <v>150538.06</v>
      </c>
      <c r="CT21" s="28">
        <f t="shared" si="51"/>
        <v>140759.75</v>
      </c>
      <c r="CU21" s="28">
        <f t="shared" si="51"/>
        <v>132803.59</v>
      </c>
      <c r="CV21" s="28">
        <f t="shared" si="51"/>
        <v>117417.23999999999</v>
      </c>
      <c r="CW21" s="28">
        <f t="shared" si="51"/>
        <v>122663.83</v>
      </c>
      <c r="CX21" s="28">
        <f t="shared" si="51"/>
        <v>124556.49</v>
      </c>
      <c r="CY21" s="28">
        <f t="shared" si="51"/>
        <v>124633.46999999999</v>
      </c>
      <c r="CZ21" s="28">
        <f t="shared" si="51"/>
        <v>127138.29</v>
      </c>
      <c r="DA21" s="28">
        <f t="shared" si="51"/>
        <v>148996.09999999998</v>
      </c>
      <c r="DB21" s="28">
        <f t="shared" si="51"/>
        <v>154181.21999999997</v>
      </c>
      <c r="DC21" s="28">
        <f t="shared" si="51"/>
        <v>152310.01</v>
      </c>
      <c r="DD21" s="28">
        <f t="shared" si="51"/>
        <v>135536.79999999999</v>
      </c>
      <c r="DE21" s="28">
        <f t="shared" si="51"/>
        <v>125932.90999999999</v>
      </c>
      <c r="DF21" s="28">
        <f t="shared" si="51"/>
        <v>121815.62999999999</v>
      </c>
      <c r="DG21" s="28">
        <f t="shared" si="51"/>
        <v>92026.03</v>
      </c>
      <c r="DH21" s="28">
        <f t="shared" si="51"/>
        <v>93703.75</v>
      </c>
      <c r="DI21" s="28">
        <f t="shared" si="51"/>
        <v>90687.62</v>
      </c>
      <c r="DJ21" s="28">
        <f t="shared" si="51"/>
        <v>86943.799999999988</v>
      </c>
      <c r="DK21" s="28">
        <f t="shared" si="51"/>
        <v>94845.94</v>
      </c>
      <c r="DL21" s="28">
        <f t="shared" si="51"/>
        <v>100262.51999999999</v>
      </c>
      <c r="DM21" s="28">
        <f t="shared" si="51"/>
        <v>125083.9</v>
      </c>
      <c r="DN21" s="28">
        <f t="shared" si="51"/>
        <v>125332.93</v>
      </c>
      <c r="DO21" s="28">
        <f t="shared" si="51"/>
        <v>109714.4</v>
      </c>
      <c r="DP21" s="28">
        <f t="shared" si="51"/>
        <v>108287.75</v>
      </c>
      <c r="DQ21" s="28">
        <f t="shared" si="51"/>
        <v>106160.79000000001</v>
      </c>
      <c r="DR21" s="28">
        <f t="shared" si="51"/>
        <v>72468.790000000008</v>
      </c>
      <c r="DS21" s="28">
        <f t="shared" si="51"/>
        <v>52000.66</v>
      </c>
      <c r="DT21" s="28">
        <f t="shared" si="51"/>
        <v>53319.350000000006</v>
      </c>
      <c r="DU21" s="28">
        <f t="shared" si="51"/>
        <v>57719.56</v>
      </c>
      <c r="DV21" s="28">
        <f t="shared" si="51"/>
        <v>61073.009999999995</v>
      </c>
      <c r="DW21" s="28">
        <f t="shared" si="51"/>
        <v>64517.91</v>
      </c>
      <c r="DX21" s="28">
        <f t="shared" si="51"/>
        <v>65714.16</v>
      </c>
      <c r="DY21" s="28">
        <f t="shared" si="51"/>
        <v>67885.66</v>
      </c>
      <c r="DZ21" s="28">
        <f t="shared" si="51"/>
        <v>109753.20999999999</v>
      </c>
      <c r="EA21" s="28">
        <f t="shared" si="51"/>
        <v>117027.68</v>
      </c>
      <c r="EB21" s="28">
        <f t="shared" si="51"/>
        <v>106655.97</v>
      </c>
      <c r="EC21" s="28">
        <f t="shared" si="51"/>
        <v>103333.95000000001</v>
      </c>
    </row>
    <row r="22" spans="1:13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7"/>
      <c r="BF22" s="17"/>
      <c r="BG22" s="17"/>
      <c r="BH22" s="15"/>
      <c r="BI22" s="17"/>
      <c r="BJ22" s="17"/>
      <c r="BK22" s="17"/>
      <c r="BL22" s="17"/>
      <c r="BM22" s="17"/>
      <c r="BN22" s="14"/>
      <c r="BO22" s="16"/>
      <c r="BP22" s="1"/>
      <c r="BQ22" s="1"/>
    </row>
    <row r="23" spans="1:133" ht="15.75" customHeight="1" x14ac:dyDescent="0.25">
      <c r="A23" s="75" t="s">
        <v>51</v>
      </c>
      <c r="D23" s="1" t="s">
        <v>52</v>
      </c>
      <c r="E23" s="25">
        <v>14527.67</v>
      </c>
      <c r="F23" s="25">
        <v>14527.67</v>
      </c>
      <c r="G23" s="25">
        <v>14527.67</v>
      </c>
      <c r="H23" s="25">
        <v>14527.67</v>
      </c>
      <c r="I23" s="25">
        <v>14527.67</v>
      </c>
      <c r="J23" s="25">
        <v>14527.67</v>
      </c>
      <c r="K23" s="25">
        <v>15514.07</v>
      </c>
      <c r="L23" s="25">
        <v>4197.7700000000004</v>
      </c>
      <c r="M23" s="25">
        <v>0</v>
      </c>
      <c r="N23" s="25">
        <v>0</v>
      </c>
      <c r="O23" s="25">
        <v>12659.6</v>
      </c>
      <c r="P23" s="25">
        <v>12039</v>
      </c>
      <c r="Q23" s="92">
        <v>7392.3</v>
      </c>
      <c r="R23" s="45">
        <v>7392.3</v>
      </c>
      <c r="S23" s="45">
        <v>16669.060000000001</v>
      </c>
      <c r="T23" s="45">
        <v>16669.060000000001</v>
      </c>
      <c r="U23" s="45">
        <v>17197.54</v>
      </c>
      <c r="V23" s="45">
        <v>29077.48</v>
      </c>
      <c r="W23" s="45">
        <v>8091.58</v>
      </c>
      <c r="X23" s="45">
        <v>-2403.9299999999998</v>
      </c>
      <c r="Y23" s="45">
        <v>-818.93</v>
      </c>
      <c r="Z23" s="45">
        <v>-818.93</v>
      </c>
      <c r="AA23" s="45">
        <v>17389.330000000002</v>
      </c>
      <c r="AB23" s="45">
        <v>17367.07</v>
      </c>
      <c r="AC23" s="45">
        <v>14080.98</v>
      </c>
      <c r="AD23" s="45">
        <v>14080.98</v>
      </c>
      <c r="AE23" s="45">
        <v>14080.98</v>
      </c>
      <c r="AF23" s="45">
        <v>14080.98</v>
      </c>
      <c r="AG23" s="45">
        <v>14080.98</v>
      </c>
      <c r="AH23" s="45">
        <v>14080.98</v>
      </c>
      <c r="AI23" s="45">
        <v>15430.98</v>
      </c>
      <c r="AJ23" s="45">
        <v>6570.2</v>
      </c>
      <c r="AK23" s="45">
        <v>-55.23</v>
      </c>
      <c r="AL23" s="45">
        <v>-55.23</v>
      </c>
      <c r="AM23" s="45">
        <v>16753.84</v>
      </c>
      <c r="AN23" s="45">
        <v>16758.93</v>
      </c>
      <c r="AO23" s="45">
        <v>16916.72</v>
      </c>
      <c r="AP23" s="45">
        <v>16925.97</v>
      </c>
      <c r="AQ23" s="45">
        <v>16925.97</v>
      </c>
      <c r="AR23" s="45">
        <v>16925.97</v>
      </c>
      <c r="AS23" s="45">
        <v>16925.97</v>
      </c>
      <c r="AT23" s="45">
        <v>16925.97</v>
      </c>
      <c r="AU23" s="45">
        <v>19332.150000000001</v>
      </c>
      <c r="AV23" s="45">
        <v>5827.48</v>
      </c>
      <c r="AW23" s="45">
        <v>-220.91</v>
      </c>
      <c r="AX23" s="45">
        <v>-220.91</v>
      </c>
      <c r="AY23" s="45">
        <v>12075.39</v>
      </c>
      <c r="AZ23" s="45">
        <v>12085.57</v>
      </c>
      <c r="BA23" s="45">
        <v>12186.24</v>
      </c>
      <c r="BB23" s="45">
        <v>12314.2</v>
      </c>
      <c r="BC23" s="45">
        <v>12314.2</v>
      </c>
      <c r="BD23" s="45">
        <v>12314.2</v>
      </c>
      <c r="BE23" s="45">
        <v>12314.2</v>
      </c>
      <c r="BF23" s="45">
        <v>12314.2</v>
      </c>
      <c r="BG23" s="45">
        <v>12680.2</v>
      </c>
      <c r="BH23" s="45">
        <v>2052.88</v>
      </c>
      <c r="BI23" s="45">
        <v>0</v>
      </c>
      <c r="BJ23" s="45">
        <v>0</v>
      </c>
      <c r="BK23" s="45">
        <v>9553.5400000000009</v>
      </c>
      <c r="BL23" s="45">
        <v>9872.83</v>
      </c>
      <c r="BM23" s="45">
        <v>9891.52</v>
      </c>
      <c r="BN23" s="19">
        <v>9914.73</v>
      </c>
      <c r="BO23" s="19">
        <v>9914.73</v>
      </c>
      <c r="BP23" s="25">
        <v>9914.73</v>
      </c>
      <c r="BQ23" s="25">
        <v>9914.73</v>
      </c>
      <c r="BR23" s="25">
        <v>9977.82</v>
      </c>
      <c r="BS23" s="25"/>
      <c r="BT23" s="25"/>
      <c r="BU23" s="25"/>
      <c r="BV23" s="25"/>
      <c r="BW23" s="25">
        <v>2159.13</v>
      </c>
      <c r="BX23" s="25">
        <v>2059.13</v>
      </c>
      <c r="BY23" s="25">
        <v>2059.13</v>
      </c>
      <c r="BZ23" s="25">
        <v>2059.13</v>
      </c>
      <c r="CA23" s="25">
        <v>2059.13</v>
      </c>
      <c r="CB23" s="25">
        <v>2059.13</v>
      </c>
      <c r="CC23" s="25">
        <v>2059.13</v>
      </c>
      <c r="CD23" s="25">
        <v>2059.13</v>
      </c>
      <c r="CE23" s="25"/>
      <c r="CF23" s="25"/>
      <c r="CG23" s="25"/>
      <c r="CH23" s="25"/>
      <c r="CI23" s="25">
        <v>15327.16</v>
      </c>
      <c r="CJ23" s="25">
        <v>15327.16</v>
      </c>
      <c r="CK23" s="25">
        <v>15327.16</v>
      </c>
      <c r="CL23" s="25">
        <v>15327.16</v>
      </c>
      <c r="CM23" s="25">
        <v>15327.16</v>
      </c>
      <c r="CN23" s="25">
        <v>15327.16</v>
      </c>
      <c r="CO23" s="25">
        <v>15327.16</v>
      </c>
      <c r="CP23" s="25">
        <v>15327.16</v>
      </c>
      <c r="CU23" s="59">
        <v>11273.89</v>
      </c>
      <c r="CV23" s="59">
        <v>11273.89</v>
      </c>
      <c r="CW23" s="59">
        <v>11273.89</v>
      </c>
      <c r="CX23" s="59">
        <v>11273.89</v>
      </c>
      <c r="CY23" s="59">
        <v>11273.89</v>
      </c>
      <c r="CZ23" s="59">
        <v>11273.89</v>
      </c>
      <c r="DA23" s="59"/>
      <c r="DB23" s="59"/>
      <c r="DC23" s="59"/>
      <c r="DD23" s="59"/>
      <c r="DE23" s="59"/>
      <c r="DF23" s="59"/>
      <c r="DG23" s="59">
        <v>12836.49</v>
      </c>
      <c r="DH23" s="59">
        <v>13124.2</v>
      </c>
      <c r="DI23" s="59">
        <v>13755</v>
      </c>
      <c r="DJ23" s="59">
        <v>13755</v>
      </c>
      <c r="DK23" s="59">
        <v>13755</v>
      </c>
      <c r="DL23" s="59">
        <v>15375.21</v>
      </c>
      <c r="DM23" s="60" t="s">
        <v>53</v>
      </c>
      <c r="DN23" s="60" t="s">
        <v>53</v>
      </c>
      <c r="DO23" s="60" t="s">
        <v>53</v>
      </c>
      <c r="DP23" s="60" t="s">
        <v>53</v>
      </c>
      <c r="DQ23" s="60" t="s">
        <v>53</v>
      </c>
      <c r="DR23" s="59">
        <v>-17550.150000000001</v>
      </c>
      <c r="DS23" s="59">
        <v>-17550.150000000001</v>
      </c>
      <c r="DT23" s="59">
        <v>-17550.150000000001</v>
      </c>
      <c r="DU23" s="59">
        <v>-15778.35</v>
      </c>
      <c r="DV23" s="59">
        <v>-15778.35</v>
      </c>
      <c r="DW23" s="59">
        <v>-15778.35</v>
      </c>
      <c r="DX23" s="59">
        <v>-15778.35</v>
      </c>
      <c r="DY23" s="59">
        <v>-15191.85</v>
      </c>
      <c r="DZ23" s="60" t="s">
        <v>53</v>
      </c>
      <c r="EA23" s="60" t="s">
        <v>53</v>
      </c>
      <c r="EB23" s="60" t="s">
        <v>53</v>
      </c>
      <c r="EC23" s="60" t="s">
        <v>53</v>
      </c>
    </row>
    <row r="24" spans="1:133" ht="15.75" customHeight="1" x14ac:dyDescent="0.25">
      <c r="Z24" s="17"/>
      <c r="AF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BA24" s="17"/>
      <c r="BB24" s="17"/>
      <c r="BC24" s="17"/>
      <c r="BD24" s="17"/>
      <c r="BE24" s="17"/>
      <c r="BF24" s="17"/>
      <c r="BG24" s="17"/>
      <c r="BI24" s="17"/>
      <c r="BJ24" s="17"/>
      <c r="BK24" s="17"/>
      <c r="BL24" s="17"/>
      <c r="BM24" s="17"/>
      <c r="BN24" s="14"/>
      <c r="BO24" s="16"/>
      <c r="BP24" s="1"/>
      <c r="BQ24" s="1"/>
    </row>
    <row r="25" spans="1:133" ht="15.75" customHeight="1" x14ac:dyDescent="0.25">
      <c r="BM25" s="17"/>
      <c r="BN25" s="14"/>
      <c r="BO25" s="16"/>
      <c r="BP25" s="1"/>
      <c r="BQ25" s="1"/>
      <c r="DG25" s="48"/>
      <c r="DH25" s="48"/>
    </row>
    <row r="26" spans="1:133" ht="15.75" customHeight="1" x14ac:dyDescent="0.25">
      <c r="D26" s="1" t="s">
        <v>54</v>
      </c>
      <c r="BM26" s="17"/>
      <c r="BN26" s="14"/>
      <c r="BO26" s="16"/>
      <c r="BP26" s="1"/>
      <c r="BQ26" s="1"/>
      <c r="CZ26" s="61"/>
      <c r="DA26" s="61"/>
      <c r="DB26" s="61"/>
      <c r="DC26" s="61"/>
      <c r="DD26" s="61"/>
      <c r="DE26" s="61"/>
      <c r="DF26" s="61"/>
      <c r="DP26" s="48"/>
    </row>
    <row r="27" spans="1:133" ht="15.75" customHeight="1" x14ac:dyDescent="0.25">
      <c r="BM27" s="17"/>
      <c r="BN27" s="14"/>
      <c r="BO27" s="16"/>
      <c r="BP27" s="1"/>
      <c r="BQ27" s="1"/>
    </row>
    <row r="28" spans="1:133" ht="15.75" customHeight="1" x14ac:dyDescent="0.25">
      <c r="BM28" s="17"/>
      <c r="BN28" s="14"/>
      <c r="BO28" s="16"/>
      <c r="BP28" s="15"/>
      <c r="BQ28" s="1"/>
    </row>
    <row r="29" spans="1:133" ht="15.75" customHeight="1" x14ac:dyDescent="0.25">
      <c r="BM29" s="17"/>
      <c r="BN29" s="14"/>
      <c r="BO29" s="16"/>
      <c r="BP29" s="1"/>
      <c r="BQ29" s="1"/>
    </row>
    <row r="30" spans="1:133" ht="15.75" customHeight="1" x14ac:dyDescent="0.25">
      <c r="BM30" s="17"/>
      <c r="BN30" s="14"/>
      <c r="BO30" s="16"/>
      <c r="BP30" s="1"/>
      <c r="BQ30" s="1"/>
      <c r="DP30" s="48"/>
    </row>
    <row r="31" spans="1:133" ht="15.75" customHeight="1" x14ac:dyDescent="0.25">
      <c r="BM31" s="17"/>
      <c r="BN31" s="14"/>
      <c r="BO31" s="16"/>
      <c r="BP31" s="1"/>
      <c r="BQ31" s="1"/>
    </row>
    <row r="32" spans="1:133" ht="15.75" customHeight="1" x14ac:dyDescent="0.25">
      <c r="BM32" s="17"/>
      <c r="BN32" s="14"/>
      <c r="BO32" s="16"/>
      <c r="BP32" s="1"/>
      <c r="BQ32" s="1"/>
    </row>
    <row r="33" spans="65:69" ht="15.75" customHeight="1" x14ac:dyDescent="0.25">
      <c r="BM33" s="17"/>
      <c r="BN33" s="14"/>
      <c r="BO33" s="16"/>
      <c r="BP33" s="1"/>
      <c r="BQ33" s="1"/>
    </row>
    <row r="34" spans="65:69" ht="15.75" customHeight="1" x14ac:dyDescent="0.25">
      <c r="BM34" s="17"/>
      <c r="BN34" s="14"/>
      <c r="BO34" s="16"/>
      <c r="BP34" s="1"/>
      <c r="BQ34" s="1"/>
    </row>
    <row r="35" spans="65:69" ht="15.75" customHeight="1" x14ac:dyDescent="0.25">
      <c r="BM35" s="17"/>
      <c r="BN35" s="14"/>
      <c r="BO35" s="16"/>
      <c r="BP35" s="1"/>
      <c r="BQ35" s="1"/>
    </row>
    <row r="36" spans="65:69" ht="15.75" customHeight="1" x14ac:dyDescent="0.25">
      <c r="BM36" s="17"/>
      <c r="BN36" s="14"/>
      <c r="BO36" s="16"/>
      <c r="BP36" s="1"/>
      <c r="BQ36" s="1"/>
    </row>
    <row r="37" spans="65:69" ht="15.75" customHeight="1" x14ac:dyDescent="0.25">
      <c r="BN37" s="6"/>
      <c r="BO37" s="7"/>
      <c r="BP37" s="1"/>
      <c r="BQ37" s="1"/>
    </row>
    <row r="38" spans="65:69" ht="15.75" customHeight="1" x14ac:dyDescent="0.25">
      <c r="BN38" s="6"/>
      <c r="BO38" s="7"/>
      <c r="BP38" s="1"/>
      <c r="BQ38" s="1"/>
    </row>
    <row r="39" spans="65:69" ht="15.75" customHeight="1" x14ac:dyDescent="0.25">
      <c r="BN39" s="6"/>
      <c r="BO39" s="7"/>
      <c r="BP39" s="1"/>
      <c r="BQ39" s="1"/>
    </row>
    <row r="40" spans="65:69" ht="15.75" customHeight="1" x14ac:dyDescent="0.25">
      <c r="BN40" s="6"/>
      <c r="BO40" s="7"/>
      <c r="BP40" s="1"/>
      <c r="BQ40" s="1"/>
    </row>
    <row r="41" spans="65:69" ht="15.75" customHeight="1" x14ac:dyDescent="0.25">
      <c r="BN41" s="6"/>
      <c r="BO41" s="7"/>
      <c r="BP41" s="1"/>
      <c r="BQ41" s="1"/>
    </row>
    <row r="42" spans="65:69" ht="15.75" customHeight="1" x14ac:dyDescent="0.25">
      <c r="BN42" s="6"/>
      <c r="BO42" s="7"/>
      <c r="BP42" s="1"/>
      <c r="BQ42" s="1"/>
    </row>
    <row r="43" spans="65:69" ht="15.75" customHeight="1" x14ac:dyDescent="0.25">
      <c r="BN43" s="6"/>
      <c r="BO43" s="7"/>
      <c r="BP43" s="1"/>
      <c r="BQ43" s="1"/>
    </row>
    <row r="44" spans="65:69" ht="15.75" customHeight="1" x14ac:dyDescent="0.25">
      <c r="BN44" s="6"/>
      <c r="BO44" s="7"/>
      <c r="BP44" s="1"/>
      <c r="BQ44" s="1"/>
    </row>
    <row r="45" spans="65:69" ht="15.75" customHeight="1" x14ac:dyDescent="0.25">
      <c r="BN45" s="6"/>
      <c r="BO45" s="7"/>
      <c r="BP45" s="1"/>
      <c r="BQ45" s="1"/>
    </row>
    <row r="46" spans="65:69" ht="15.75" customHeight="1" x14ac:dyDescent="0.25">
      <c r="BN46" s="6"/>
      <c r="BO46" s="7"/>
      <c r="BP46" s="1"/>
      <c r="BQ46" s="1"/>
    </row>
    <row r="47" spans="65:69" ht="15.75" customHeight="1" x14ac:dyDescent="0.25">
      <c r="BN47" s="6"/>
      <c r="BO47" s="7"/>
      <c r="BP47" s="1"/>
      <c r="BQ47" s="1"/>
    </row>
    <row r="48" spans="65:69" ht="15.75" customHeight="1" x14ac:dyDescent="0.25">
      <c r="BN48" s="6"/>
      <c r="BO48" s="7"/>
      <c r="BP48" s="1"/>
      <c r="BQ48" s="1"/>
    </row>
    <row r="49" spans="66:69" ht="15.75" customHeight="1" x14ac:dyDescent="0.25">
      <c r="BN49" s="6"/>
      <c r="BO49" s="7"/>
      <c r="BP49" s="1"/>
      <c r="BQ49" s="1"/>
    </row>
    <row r="50" spans="66:69" ht="15.75" customHeight="1" x14ac:dyDescent="0.25">
      <c r="BN50" s="6"/>
      <c r="BO50" s="7"/>
      <c r="BP50" s="1"/>
      <c r="BQ50" s="1"/>
    </row>
    <row r="51" spans="66:69" ht="15.75" customHeight="1" x14ac:dyDescent="0.25">
      <c r="BN51" s="6"/>
      <c r="BO51" s="7"/>
      <c r="BP51" s="1"/>
      <c r="BQ51" s="1"/>
    </row>
    <row r="52" spans="66:69" ht="15.75" customHeight="1" x14ac:dyDescent="0.25">
      <c r="BN52" s="6"/>
      <c r="BO52" s="7"/>
      <c r="BP52" s="1"/>
      <c r="BQ52" s="1"/>
    </row>
    <row r="53" spans="66:69" ht="15.75" customHeight="1" x14ac:dyDescent="0.25">
      <c r="BN53" s="6"/>
      <c r="BO53" s="7"/>
      <c r="BP53" s="1"/>
      <c r="BQ53" s="1"/>
    </row>
    <row r="54" spans="66:69" ht="15.75" customHeight="1" x14ac:dyDescent="0.25">
      <c r="BN54" s="6"/>
      <c r="BO54" s="7"/>
      <c r="BP54" s="1"/>
      <c r="BQ54" s="1"/>
    </row>
    <row r="55" spans="66:69" ht="15.75" customHeight="1" x14ac:dyDescent="0.25">
      <c r="BN55" s="6"/>
      <c r="BO55" s="7"/>
      <c r="BP55" s="1"/>
      <c r="BQ55" s="1"/>
    </row>
    <row r="56" spans="66:69" ht="15.75" customHeight="1" x14ac:dyDescent="0.25">
      <c r="BN56" s="6"/>
      <c r="BO56" s="7"/>
      <c r="BP56" s="1"/>
      <c r="BQ56" s="1"/>
    </row>
    <row r="57" spans="66:69" ht="15.75" customHeight="1" x14ac:dyDescent="0.25">
      <c r="BN57" s="6"/>
      <c r="BO57" s="7"/>
      <c r="BP57" s="1"/>
      <c r="BQ57" s="1"/>
    </row>
    <row r="58" spans="66:69" ht="15.75" customHeight="1" x14ac:dyDescent="0.25">
      <c r="BN58" s="6"/>
      <c r="BO58" s="7"/>
      <c r="BP58" s="1"/>
      <c r="BQ58" s="1"/>
    </row>
    <row r="59" spans="66:69" ht="15.75" customHeight="1" x14ac:dyDescent="0.25">
      <c r="BN59" s="6"/>
      <c r="BO59" s="7"/>
      <c r="BP59" s="1"/>
      <c r="BQ59" s="1"/>
    </row>
    <row r="60" spans="66:69" ht="15.75" customHeight="1" x14ac:dyDescent="0.25">
      <c r="BN60" s="6"/>
      <c r="BO60" s="7"/>
      <c r="BP60" s="1"/>
      <c r="BQ60" s="1"/>
    </row>
    <row r="61" spans="66:69" ht="15.75" customHeight="1" x14ac:dyDescent="0.25">
      <c r="BN61" s="6"/>
      <c r="BO61" s="7"/>
      <c r="BP61" s="1"/>
      <c r="BQ61" s="1"/>
    </row>
    <row r="62" spans="66:69" ht="15.75" customHeight="1" x14ac:dyDescent="0.25">
      <c r="BN62" s="6"/>
      <c r="BO62" s="7"/>
      <c r="BP62" s="1"/>
      <c r="BQ62" s="1"/>
    </row>
    <row r="63" spans="66:69" ht="15.75" customHeight="1" x14ac:dyDescent="0.25">
      <c r="BN63" s="6"/>
      <c r="BO63" s="7"/>
      <c r="BP63" s="1"/>
      <c r="BQ63" s="1"/>
    </row>
    <row r="64" spans="66:69" ht="15.75" customHeight="1" x14ac:dyDescent="0.25">
      <c r="BN64" s="6"/>
      <c r="BO64" s="7"/>
      <c r="BP64" s="1"/>
      <c r="BQ64" s="1"/>
    </row>
    <row r="65" spans="66:69" ht="15.75" customHeight="1" x14ac:dyDescent="0.25">
      <c r="BN65" s="6"/>
      <c r="BO65" s="7"/>
      <c r="BP65" s="1"/>
      <c r="BQ65" s="1"/>
    </row>
    <row r="66" spans="66:69" ht="15.75" customHeight="1" x14ac:dyDescent="0.25">
      <c r="BN66" s="6"/>
      <c r="BO66" s="7"/>
      <c r="BP66" s="1"/>
      <c r="BQ66" s="1"/>
    </row>
    <row r="67" spans="66:69" ht="15.75" customHeight="1" x14ac:dyDescent="0.25">
      <c r="BN67" s="6"/>
      <c r="BO67" s="7"/>
      <c r="BP67" s="1"/>
      <c r="BQ67" s="1"/>
    </row>
    <row r="68" spans="66:69" ht="15.75" customHeight="1" x14ac:dyDescent="0.25">
      <c r="BN68" s="6"/>
      <c r="BO68" s="7"/>
      <c r="BP68" s="1"/>
      <c r="BQ68" s="1"/>
    </row>
    <row r="69" spans="66:69" ht="15.75" customHeight="1" x14ac:dyDescent="0.25">
      <c r="BN69" s="6"/>
      <c r="BO69" s="7"/>
      <c r="BP69" s="1"/>
      <c r="BQ69" s="1"/>
    </row>
    <row r="70" spans="66:69" ht="15.75" customHeight="1" x14ac:dyDescent="0.25">
      <c r="BN70" s="6"/>
      <c r="BO70" s="7"/>
      <c r="BP70" s="1"/>
      <c r="BQ70" s="1"/>
    </row>
    <row r="71" spans="66:69" ht="15.75" customHeight="1" x14ac:dyDescent="0.25">
      <c r="BN71" s="6"/>
      <c r="BO71" s="7"/>
      <c r="BP71" s="1"/>
      <c r="BQ71" s="1"/>
    </row>
    <row r="72" spans="66:69" ht="15.75" customHeight="1" x14ac:dyDescent="0.25">
      <c r="BN72" s="6"/>
      <c r="BO72" s="7"/>
      <c r="BP72" s="1"/>
      <c r="BQ72" s="1"/>
    </row>
    <row r="73" spans="66:69" ht="15.75" customHeight="1" x14ac:dyDescent="0.25">
      <c r="BN73" s="6"/>
      <c r="BO73" s="7"/>
      <c r="BP73" s="1"/>
      <c r="BQ73" s="1"/>
    </row>
    <row r="74" spans="66:69" ht="15.75" customHeight="1" x14ac:dyDescent="0.25">
      <c r="BN74" s="6"/>
      <c r="BO74" s="7"/>
      <c r="BP74" s="1"/>
      <c r="BQ74" s="1"/>
    </row>
    <row r="75" spans="66:69" ht="15.75" customHeight="1" x14ac:dyDescent="0.25">
      <c r="BN75" s="6"/>
      <c r="BO75" s="7"/>
      <c r="BP75" s="1"/>
      <c r="BQ75" s="1"/>
    </row>
    <row r="76" spans="66:69" ht="15.75" customHeight="1" x14ac:dyDescent="0.25">
      <c r="BN76" s="6"/>
      <c r="BO76" s="7"/>
      <c r="BP76" s="1"/>
      <c r="BQ76" s="1"/>
    </row>
    <row r="77" spans="66:69" ht="15.75" customHeight="1" x14ac:dyDescent="0.25">
      <c r="BN77" s="6"/>
      <c r="BO77" s="7"/>
      <c r="BP77" s="1"/>
      <c r="BQ77" s="1"/>
    </row>
    <row r="78" spans="66:69" ht="15.75" customHeight="1" x14ac:dyDescent="0.25">
      <c r="BN78" s="6"/>
      <c r="BO78" s="7"/>
      <c r="BP78" s="1"/>
      <c r="BQ78" s="1"/>
    </row>
    <row r="79" spans="66:69" ht="15.75" customHeight="1" x14ac:dyDescent="0.25">
      <c r="BN79" s="6"/>
      <c r="BO79" s="7"/>
      <c r="BP79" s="1"/>
      <c r="BQ79" s="1"/>
    </row>
    <row r="80" spans="66:69" ht="15.75" customHeight="1" x14ac:dyDescent="0.25">
      <c r="BN80" s="6"/>
      <c r="BO80" s="7"/>
      <c r="BP80" s="1"/>
      <c r="BQ80" s="1"/>
    </row>
    <row r="81" spans="66:69" ht="15.75" customHeight="1" x14ac:dyDescent="0.25">
      <c r="BN81" s="6"/>
      <c r="BO81" s="7"/>
      <c r="BP81" s="1"/>
      <c r="BQ81" s="1"/>
    </row>
    <row r="82" spans="66:69" ht="15.75" customHeight="1" x14ac:dyDescent="0.25">
      <c r="BN82" s="6"/>
      <c r="BO82" s="7"/>
      <c r="BP82" s="1"/>
      <c r="BQ82" s="1"/>
    </row>
    <row r="83" spans="66:69" ht="15.75" customHeight="1" x14ac:dyDescent="0.25">
      <c r="BN83" s="6"/>
      <c r="BO83" s="7"/>
      <c r="BP83" s="1"/>
      <c r="BQ83" s="1"/>
    </row>
    <row r="84" spans="66:69" ht="15.75" customHeight="1" x14ac:dyDescent="0.25">
      <c r="BN84" s="6"/>
      <c r="BO84" s="7"/>
      <c r="BP84" s="1"/>
      <c r="BQ84" s="1"/>
    </row>
    <row r="85" spans="66:69" ht="15.75" customHeight="1" x14ac:dyDescent="0.25">
      <c r="BN85" s="6"/>
      <c r="BO85" s="7"/>
      <c r="BP85" s="1"/>
      <c r="BQ85" s="1"/>
    </row>
    <row r="86" spans="66:69" ht="15.75" customHeight="1" x14ac:dyDescent="0.25">
      <c r="BN86" s="6"/>
      <c r="BO86" s="7"/>
      <c r="BP86" s="1"/>
      <c r="BQ86" s="1"/>
    </row>
    <row r="87" spans="66:69" ht="15.75" customHeight="1" x14ac:dyDescent="0.25">
      <c r="BN87" s="6"/>
      <c r="BO87" s="7"/>
      <c r="BP87" s="1"/>
      <c r="BQ87" s="1"/>
    </row>
    <row r="88" spans="66:69" ht="15.75" customHeight="1" x14ac:dyDescent="0.25">
      <c r="BN88" s="6"/>
      <c r="BO88" s="7"/>
      <c r="BP88" s="1"/>
      <c r="BQ88" s="1"/>
    </row>
    <row r="89" spans="66:69" ht="15.75" customHeight="1" x14ac:dyDescent="0.25">
      <c r="BN89" s="6"/>
      <c r="BO89" s="7"/>
      <c r="BP89" s="1"/>
      <c r="BQ89" s="1"/>
    </row>
    <row r="90" spans="66:69" ht="15.75" customHeight="1" x14ac:dyDescent="0.25">
      <c r="BN90" s="6"/>
      <c r="BO90" s="7"/>
      <c r="BP90" s="1"/>
      <c r="BQ90" s="1"/>
    </row>
    <row r="91" spans="66:69" ht="15.75" customHeight="1" x14ac:dyDescent="0.25">
      <c r="BN91" s="6"/>
      <c r="BO91" s="7"/>
      <c r="BP91" s="1"/>
      <c r="BQ91" s="1"/>
    </row>
    <row r="92" spans="66:69" ht="15.75" customHeight="1" x14ac:dyDescent="0.25">
      <c r="BN92" s="6"/>
      <c r="BO92" s="7"/>
      <c r="BP92" s="1"/>
      <c r="BQ92" s="1"/>
    </row>
    <row r="93" spans="66:69" ht="15.75" customHeight="1" x14ac:dyDescent="0.25">
      <c r="BN93" s="6"/>
      <c r="BO93" s="7"/>
      <c r="BP93" s="1"/>
      <c r="BQ93" s="1"/>
    </row>
    <row r="94" spans="66:69" ht="15.75" customHeight="1" x14ac:dyDescent="0.25">
      <c r="BN94" s="6"/>
      <c r="BO94" s="7"/>
      <c r="BP94" s="1"/>
      <c r="BQ94" s="1"/>
    </row>
    <row r="95" spans="66:69" ht="15.75" customHeight="1" x14ac:dyDescent="0.25">
      <c r="BN95" s="6"/>
      <c r="BO95" s="7"/>
      <c r="BP95" s="1"/>
      <c r="BQ95" s="1"/>
    </row>
    <row r="96" spans="66:69" ht="15.75" customHeight="1" x14ac:dyDescent="0.25">
      <c r="BN96" s="6"/>
      <c r="BO96" s="7"/>
      <c r="BP96" s="1"/>
      <c r="BQ96" s="1"/>
    </row>
    <row r="97" spans="66:69" ht="15.75" customHeight="1" x14ac:dyDescent="0.25">
      <c r="BN97" s="6"/>
      <c r="BO97" s="7"/>
      <c r="BP97" s="1"/>
      <c r="BQ97" s="1"/>
    </row>
    <row r="98" spans="66:69" ht="15.75" customHeight="1" x14ac:dyDescent="0.25">
      <c r="BN98" s="6"/>
      <c r="BO98" s="7"/>
      <c r="BP98" s="1"/>
      <c r="BQ98" s="1"/>
    </row>
    <row r="99" spans="66:69" ht="15.75" customHeight="1" x14ac:dyDescent="0.25">
      <c r="BN99" s="6"/>
      <c r="BO99" s="7"/>
      <c r="BP99" s="1"/>
      <c r="BQ99" s="1"/>
    </row>
    <row r="100" spans="66:69" ht="15.75" customHeight="1" x14ac:dyDescent="0.25">
      <c r="BN100" s="6"/>
      <c r="BO100" s="7"/>
      <c r="BP100" s="1"/>
      <c r="BQ100" s="1"/>
    </row>
    <row r="101" spans="66:69" ht="15.75" customHeight="1" x14ac:dyDescent="0.25">
      <c r="BN101" s="6"/>
      <c r="BO101" s="7"/>
      <c r="BP101" s="1"/>
      <c r="BQ101" s="1"/>
    </row>
    <row r="102" spans="66:69" ht="15.75" customHeight="1" x14ac:dyDescent="0.25">
      <c r="BN102" s="6"/>
      <c r="BO102" s="7"/>
      <c r="BP102" s="1"/>
      <c r="BQ102" s="1"/>
    </row>
    <row r="103" spans="66:69" ht="15.75" customHeight="1" x14ac:dyDescent="0.25">
      <c r="BN103" s="6"/>
      <c r="BO103" s="7"/>
      <c r="BP103" s="1"/>
      <c r="BQ103" s="1"/>
    </row>
    <row r="104" spans="66:69" ht="15.75" customHeight="1" x14ac:dyDescent="0.25">
      <c r="BN104" s="6"/>
      <c r="BO104" s="7"/>
      <c r="BP104" s="1"/>
      <c r="BQ104" s="1"/>
    </row>
    <row r="105" spans="66:69" ht="15.75" customHeight="1" x14ac:dyDescent="0.25">
      <c r="BN105" s="6"/>
      <c r="BO105" s="7"/>
      <c r="BP105" s="1"/>
      <c r="BQ105" s="1"/>
    </row>
    <row r="106" spans="66:69" ht="15.75" customHeight="1" x14ac:dyDescent="0.25">
      <c r="BN106" s="6"/>
      <c r="BO106" s="7"/>
      <c r="BP106" s="1"/>
      <c r="BQ106" s="1"/>
    </row>
    <row r="107" spans="66:69" ht="15.75" customHeight="1" x14ac:dyDescent="0.25">
      <c r="BN107" s="6"/>
      <c r="BO107" s="7"/>
      <c r="BP107" s="1"/>
      <c r="BQ107" s="1"/>
    </row>
    <row r="108" spans="66:69" ht="15.75" customHeight="1" x14ac:dyDescent="0.25">
      <c r="BN108" s="6"/>
      <c r="BO108" s="7"/>
      <c r="BP108" s="1"/>
      <c r="BQ108" s="1"/>
    </row>
    <row r="109" spans="66:69" ht="15.75" customHeight="1" x14ac:dyDescent="0.25">
      <c r="BN109" s="6"/>
      <c r="BO109" s="7"/>
      <c r="BP109" s="1"/>
      <c r="BQ109" s="1"/>
    </row>
    <row r="110" spans="66:69" ht="15.75" customHeight="1" x14ac:dyDescent="0.25">
      <c r="BN110" s="6"/>
      <c r="BO110" s="7"/>
      <c r="BP110" s="1"/>
      <c r="BQ110" s="1"/>
    </row>
    <row r="111" spans="66:69" ht="15.75" customHeight="1" x14ac:dyDescent="0.25">
      <c r="BN111" s="6"/>
      <c r="BO111" s="7"/>
      <c r="BP111" s="1"/>
      <c r="BQ111" s="1"/>
    </row>
    <row r="112" spans="66:69" ht="15.75" customHeight="1" x14ac:dyDescent="0.25">
      <c r="BN112" s="6"/>
      <c r="BO112" s="7"/>
      <c r="BP112" s="1"/>
      <c r="BQ112" s="1"/>
    </row>
    <row r="113" spans="66:69" ht="15.75" customHeight="1" x14ac:dyDescent="0.25">
      <c r="BN113" s="6"/>
      <c r="BO113" s="7"/>
      <c r="BP113" s="1"/>
      <c r="BQ113" s="1"/>
    </row>
    <row r="114" spans="66:69" ht="15.75" customHeight="1" x14ac:dyDescent="0.25">
      <c r="BN114" s="6"/>
      <c r="BO114" s="7"/>
      <c r="BP114" s="1"/>
      <c r="BQ114" s="1"/>
    </row>
    <row r="115" spans="66:69" ht="15.75" customHeight="1" x14ac:dyDescent="0.25">
      <c r="BN115" s="6"/>
      <c r="BO115" s="7"/>
      <c r="BP115" s="1"/>
      <c r="BQ115" s="1"/>
    </row>
    <row r="116" spans="66:69" ht="15.75" customHeight="1" x14ac:dyDescent="0.25">
      <c r="BN116" s="6"/>
      <c r="BO116" s="7"/>
      <c r="BP116" s="1"/>
      <c r="BQ116" s="1"/>
    </row>
    <row r="117" spans="66:69" ht="15.75" customHeight="1" x14ac:dyDescent="0.25">
      <c r="BN117" s="6"/>
      <c r="BO117" s="7"/>
      <c r="BP117" s="1"/>
      <c r="BQ117" s="1"/>
    </row>
    <row r="118" spans="66:69" ht="15.75" customHeight="1" x14ac:dyDescent="0.25">
      <c r="BN118" s="6"/>
      <c r="BO118" s="7"/>
      <c r="BP118" s="1"/>
      <c r="BQ118" s="1"/>
    </row>
    <row r="119" spans="66:69" ht="15.75" customHeight="1" x14ac:dyDescent="0.25">
      <c r="BN119" s="6"/>
      <c r="BO119" s="7"/>
      <c r="BP119" s="1"/>
      <c r="BQ119" s="1"/>
    </row>
    <row r="120" spans="66:69" ht="15.75" customHeight="1" x14ac:dyDescent="0.25">
      <c r="BN120" s="6"/>
      <c r="BO120" s="7"/>
      <c r="BP120" s="1"/>
      <c r="BQ120" s="1"/>
    </row>
    <row r="121" spans="66:69" ht="15.75" customHeight="1" x14ac:dyDescent="0.25">
      <c r="BN121" s="6"/>
      <c r="BO121" s="7"/>
      <c r="BP121" s="1"/>
      <c r="BQ121" s="1"/>
    </row>
    <row r="122" spans="66:69" ht="15.75" customHeight="1" x14ac:dyDescent="0.25">
      <c r="BN122" s="6"/>
      <c r="BO122" s="7"/>
      <c r="BP122" s="1"/>
      <c r="BQ122" s="1"/>
    </row>
    <row r="123" spans="66:69" ht="15.75" customHeight="1" x14ac:dyDescent="0.25">
      <c r="BN123" s="6"/>
      <c r="BO123" s="7"/>
      <c r="BP123" s="1"/>
      <c r="BQ123" s="1"/>
    </row>
    <row r="124" spans="66:69" ht="15.75" customHeight="1" x14ac:dyDescent="0.25">
      <c r="BN124" s="6"/>
      <c r="BO124" s="7"/>
      <c r="BP124" s="1"/>
      <c r="BQ124" s="1"/>
    </row>
    <row r="125" spans="66:69" ht="15.75" customHeight="1" x14ac:dyDescent="0.25">
      <c r="BN125" s="6"/>
      <c r="BO125" s="7"/>
      <c r="BP125" s="1"/>
      <c r="BQ125" s="1"/>
    </row>
    <row r="126" spans="66:69" ht="15.75" customHeight="1" x14ac:dyDescent="0.25">
      <c r="BN126" s="6"/>
      <c r="BO126" s="7"/>
      <c r="BP126" s="1"/>
      <c r="BQ126" s="1"/>
    </row>
    <row r="127" spans="66:69" ht="15.75" customHeight="1" x14ac:dyDescent="0.25">
      <c r="BN127" s="6"/>
      <c r="BO127" s="7"/>
      <c r="BP127" s="1"/>
      <c r="BQ127" s="1"/>
    </row>
    <row r="128" spans="66:69" ht="15.75" customHeight="1" x14ac:dyDescent="0.25">
      <c r="BN128" s="6"/>
      <c r="BO128" s="7"/>
      <c r="BP128" s="1"/>
      <c r="BQ128" s="1"/>
    </row>
    <row r="129" spans="66:69" ht="15.75" customHeight="1" x14ac:dyDescent="0.25">
      <c r="BN129" s="6"/>
      <c r="BO129" s="7"/>
      <c r="BP129" s="1"/>
      <c r="BQ129" s="1"/>
    </row>
    <row r="130" spans="66:69" ht="15.75" customHeight="1" x14ac:dyDescent="0.25">
      <c r="BN130" s="6"/>
      <c r="BO130" s="7"/>
      <c r="BP130" s="1"/>
      <c r="BQ130" s="1"/>
    </row>
    <row r="131" spans="66:69" ht="15.75" customHeight="1" x14ac:dyDescent="0.25">
      <c r="BN131" s="6"/>
      <c r="BO131" s="7"/>
      <c r="BP131" s="1"/>
      <c r="BQ131" s="1"/>
    </row>
    <row r="132" spans="66:69" ht="15.75" customHeight="1" x14ac:dyDescent="0.25">
      <c r="BN132" s="6"/>
      <c r="BO132" s="7"/>
      <c r="BP132" s="1"/>
      <c r="BQ132" s="1"/>
    </row>
    <row r="133" spans="66:69" ht="15.75" customHeight="1" x14ac:dyDescent="0.25">
      <c r="BN133" s="6"/>
      <c r="BO133" s="7"/>
      <c r="BP133" s="1"/>
      <c r="BQ133" s="1"/>
    </row>
    <row r="134" spans="66:69" ht="15.75" customHeight="1" x14ac:dyDescent="0.25">
      <c r="BN134" s="6"/>
      <c r="BO134" s="7"/>
      <c r="BP134" s="1"/>
      <c r="BQ134" s="1"/>
    </row>
    <row r="135" spans="66:69" ht="15.75" customHeight="1" x14ac:dyDescent="0.25">
      <c r="BN135" s="6"/>
      <c r="BO135" s="7"/>
      <c r="BP135" s="1"/>
      <c r="BQ135" s="1"/>
    </row>
    <row r="136" spans="66:69" ht="15.75" customHeight="1" x14ac:dyDescent="0.25">
      <c r="BN136" s="6"/>
      <c r="BO136" s="7"/>
      <c r="BP136" s="1"/>
      <c r="BQ136" s="1"/>
    </row>
    <row r="137" spans="66:69" ht="15.75" customHeight="1" x14ac:dyDescent="0.25">
      <c r="BN137" s="6"/>
      <c r="BO137" s="7"/>
      <c r="BP137" s="1"/>
      <c r="BQ137" s="1"/>
    </row>
    <row r="138" spans="66:69" ht="15.75" customHeight="1" x14ac:dyDescent="0.25">
      <c r="BN138" s="6"/>
      <c r="BO138" s="7"/>
      <c r="BP138" s="1"/>
      <c r="BQ138" s="1"/>
    </row>
    <row r="139" spans="66:69" ht="15.75" customHeight="1" x14ac:dyDescent="0.25">
      <c r="BN139" s="6"/>
      <c r="BO139" s="7"/>
      <c r="BP139" s="1"/>
      <c r="BQ139" s="1"/>
    </row>
    <row r="140" spans="66:69" ht="15.75" customHeight="1" x14ac:dyDescent="0.25">
      <c r="BN140" s="6"/>
      <c r="BO140" s="7"/>
      <c r="BP140" s="1"/>
      <c r="BQ140" s="1"/>
    </row>
    <row r="141" spans="66:69" ht="15.75" customHeight="1" x14ac:dyDescent="0.25">
      <c r="BN141" s="6"/>
      <c r="BO141" s="7"/>
      <c r="BP141" s="1"/>
      <c r="BQ141" s="1"/>
    </row>
    <row r="142" spans="66:69" ht="15.75" customHeight="1" x14ac:dyDescent="0.25">
      <c r="BN142" s="6"/>
      <c r="BO142" s="7"/>
      <c r="BP142" s="1"/>
      <c r="BQ142" s="1"/>
    </row>
    <row r="143" spans="66:69" ht="15.75" customHeight="1" x14ac:dyDescent="0.25">
      <c r="BN143" s="6"/>
      <c r="BO143" s="7"/>
      <c r="BP143" s="1"/>
      <c r="BQ143" s="1"/>
    </row>
    <row r="144" spans="66:69" ht="15.75" customHeight="1" x14ac:dyDescent="0.25">
      <c r="BN144" s="6"/>
      <c r="BO144" s="7"/>
      <c r="BP144" s="1"/>
      <c r="BQ144" s="1"/>
    </row>
    <row r="145" spans="66:69" ht="15.75" customHeight="1" x14ac:dyDescent="0.25">
      <c r="BN145" s="6"/>
      <c r="BO145" s="7"/>
      <c r="BP145" s="1"/>
      <c r="BQ145" s="1"/>
    </row>
    <row r="146" spans="66:69" ht="15.75" customHeight="1" x14ac:dyDescent="0.25">
      <c r="BN146" s="6"/>
      <c r="BO146" s="7"/>
      <c r="BP146" s="1"/>
      <c r="BQ146" s="1"/>
    </row>
    <row r="147" spans="66:69" ht="15.75" customHeight="1" x14ac:dyDescent="0.25">
      <c r="BN147" s="6"/>
      <c r="BO147" s="7"/>
      <c r="BP147" s="1"/>
      <c r="BQ147" s="1"/>
    </row>
    <row r="148" spans="66:69" ht="15.75" customHeight="1" x14ac:dyDescent="0.25">
      <c r="BN148" s="6"/>
      <c r="BO148" s="7"/>
      <c r="BP148" s="1"/>
      <c r="BQ148" s="1"/>
    </row>
    <row r="149" spans="66:69" ht="15.75" customHeight="1" x14ac:dyDescent="0.25">
      <c r="BN149" s="6"/>
      <c r="BO149" s="7"/>
      <c r="BP149" s="1"/>
      <c r="BQ149" s="1"/>
    </row>
    <row r="150" spans="66:69" ht="15.75" customHeight="1" x14ac:dyDescent="0.25">
      <c r="BN150" s="6"/>
      <c r="BO150" s="7"/>
      <c r="BP150" s="1"/>
      <c r="BQ150" s="1"/>
    </row>
    <row r="151" spans="66:69" ht="15.75" customHeight="1" x14ac:dyDescent="0.25">
      <c r="BN151" s="6"/>
      <c r="BO151" s="7"/>
      <c r="BP151" s="1"/>
      <c r="BQ151" s="1"/>
    </row>
    <row r="152" spans="66:69" ht="15.75" customHeight="1" x14ac:dyDescent="0.25">
      <c r="BN152" s="6"/>
      <c r="BO152" s="7"/>
      <c r="BP152" s="1"/>
      <c r="BQ152" s="1"/>
    </row>
    <row r="153" spans="66:69" ht="15.75" customHeight="1" x14ac:dyDescent="0.25">
      <c r="BN153" s="6"/>
      <c r="BO153" s="7"/>
      <c r="BP153" s="1"/>
      <c r="BQ153" s="1"/>
    </row>
    <row r="154" spans="66:69" ht="15.75" customHeight="1" x14ac:dyDescent="0.25">
      <c r="BN154" s="6"/>
      <c r="BO154" s="7"/>
      <c r="BP154" s="1"/>
      <c r="BQ154" s="1"/>
    </row>
    <row r="155" spans="66:69" ht="15.75" customHeight="1" x14ac:dyDescent="0.25">
      <c r="BN155" s="6"/>
      <c r="BO155" s="7"/>
      <c r="BP155" s="1"/>
      <c r="BQ155" s="1"/>
    </row>
    <row r="156" spans="66:69" ht="15.75" customHeight="1" x14ac:dyDescent="0.25">
      <c r="BN156" s="6"/>
      <c r="BO156" s="7"/>
      <c r="BP156" s="1"/>
      <c r="BQ156" s="1"/>
    </row>
    <row r="157" spans="66:69" ht="15.75" customHeight="1" x14ac:dyDescent="0.25">
      <c r="BN157" s="6"/>
      <c r="BO157" s="7"/>
      <c r="BP157" s="1"/>
      <c r="BQ157" s="1"/>
    </row>
    <row r="158" spans="66:69" ht="15.75" customHeight="1" x14ac:dyDescent="0.25">
      <c r="BN158" s="6"/>
      <c r="BO158" s="7"/>
      <c r="BP158" s="1"/>
      <c r="BQ158" s="1"/>
    </row>
    <row r="159" spans="66:69" ht="15.75" customHeight="1" x14ac:dyDescent="0.25">
      <c r="BN159" s="6"/>
      <c r="BO159" s="7"/>
      <c r="BP159" s="1"/>
      <c r="BQ159" s="1"/>
    </row>
    <row r="160" spans="66:69" ht="15.75" customHeight="1" x14ac:dyDescent="0.25">
      <c r="BN160" s="6"/>
      <c r="BO160" s="7"/>
      <c r="BP160" s="1"/>
      <c r="BQ160" s="1"/>
    </row>
    <row r="161" spans="66:69" ht="15.75" customHeight="1" x14ac:dyDescent="0.25">
      <c r="BN161" s="6"/>
      <c r="BO161" s="7"/>
      <c r="BP161" s="1"/>
      <c r="BQ161" s="1"/>
    </row>
    <row r="162" spans="66:69" ht="15.75" customHeight="1" x14ac:dyDescent="0.25">
      <c r="BN162" s="6"/>
      <c r="BO162" s="7"/>
      <c r="BP162" s="1"/>
      <c r="BQ162" s="1"/>
    </row>
    <row r="163" spans="66:69" ht="15.75" customHeight="1" x14ac:dyDescent="0.25">
      <c r="BN163" s="6"/>
      <c r="BO163" s="7"/>
      <c r="BP163" s="1"/>
      <c r="BQ163" s="1"/>
    </row>
    <row r="164" spans="66:69" ht="15.75" customHeight="1" x14ac:dyDescent="0.25">
      <c r="BN164" s="6"/>
      <c r="BO164" s="7"/>
      <c r="BP164" s="1"/>
      <c r="BQ164" s="1"/>
    </row>
    <row r="165" spans="66:69" ht="15.75" customHeight="1" x14ac:dyDescent="0.25">
      <c r="BN165" s="6"/>
      <c r="BO165" s="7"/>
      <c r="BP165" s="1"/>
      <c r="BQ165" s="1"/>
    </row>
    <row r="166" spans="66:69" ht="15.75" customHeight="1" x14ac:dyDescent="0.25">
      <c r="BN166" s="6"/>
      <c r="BO166" s="7"/>
      <c r="BP166" s="1"/>
      <c r="BQ166" s="1"/>
    </row>
    <row r="167" spans="66:69" ht="15.75" customHeight="1" x14ac:dyDescent="0.25">
      <c r="BN167" s="6"/>
      <c r="BO167" s="7"/>
      <c r="BP167" s="1"/>
      <c r="BQ167" s="1"/>
    </row>
    <row r="168" spans="66:69" ht="15.75" customHeight="1" x14ac:dyDescent="0.25">
      <c r="BN168" s="6"/>
      <c r="BO168" s="7"/>
      <c r="BP168" s="1"/>
      <c r="BQ168" s="1"/>
    </row>
    <row r="169" spans="66:69" ht="15.75" customHeight="1" x14ac:dyDescent="0.25">
      <c r="BN169" s="6"/>
      <c r="BO169" s="7"/>
      <c r="BP169" s="1"/>
      <c r="BQ169" s="1"/>
    </row>
    <row r="170" spans="66:69" ht="15.75" customHeight="1" x14ac:dyDescent="0.25">
      <c r="BN170" s="6"/>
      <c r="BO170" s="7"/>
      <c r="BP170" s="1"/>
      <c r="BQ170" s="1"/>
    </row>
    <row r="171" spans="66:69" ht="15.75" customHeight="1" x14ac:dyDescent="0.25">
      <c r="BN171" s="6"/>
      <c r="BO171" s="7"/>
      <c r="BP171" s="1"/>
      <c r="BQ171" s="1"/>
    </row>
    <row r="172" spans="66:69" ht="15.75" customHeight="1" x14ac:dyDescent="0.25">
      <c r="BN172" s="6"/>
      <c r="BO172" s="7"/>
      <c r="BP172" s="1"/>
      <c r="BQ172" s="1"/>
    </row>
    <row r="173" spans="66:69" ht="15.75" customHeight="1" x14ac:dyDescent="0.25">
      <c r="BN173" s="6"/>
      <c r="BO173" s="7"/>
      <c r="BP173" s="1"/>
      <c r="BQ173" s="1"/>
    </row>
    <row r="174" spans="66:69" ht="15.75" customHeight="1" x14ac:dyDescent="0.25">
      <c r="BN174" s="6"/>
      <c r="BO174" s="7"/>
      <c r="BP174" s="1"/>
      <c r="BQ174" s="1"/>
    </row>
    <row r="175" spans="66:69" ht="15.75" customHeight="1" x14ac:dyDescent="0.25">
      <c r="BN175" s="6"/>
      <c r="BO175" s="7"/>
      <c r="BP175" s="1"/>
      <c r="BQ175" s="1"/>
    </row>
    <row r="176" spans="66:69" ht="15.75" customHeight="1" x14ac:dyDescent="0.25">
      <c r="BN176" s="6"/>
      <c r="BO176" s="7"/>
      <c r="BP176" s="1"/>
      <c r="BQ176" s="1"/>
    </row>
    <row r="177" spans="66:69" ht="15.75" customHeight="1" x14ac:dyDescent="0.25">
      <c r="BN177" s="6"/>
      <c r="BO177" s="7"/>
      <c r="BP177" s="1"/>
      <c r="BQ177" s="1"/>
    </row>
    <row r="178" spans="66:69" ht="15.75" customHeight="1" x14ac:dyDescent="0.25">
      <c r="BN178" s="6"/>
      <c r="BO178" s="7"/>
      <c r="BP178" s="1"/>
      <c r="BQ178" s="1"/>
    </row>
    <row r="179" spans="66:69" ht="15.75" customHeight="1" x14ac:dyDescent="0.25">
      <c r="BN179" s="6"/>
      <c r="BO179" s="7"/>
      <c r="BP179" s="1"/>
      <c r="BQ179" s="1"/>
    </row>
    <row r="180" spans="66:69" ht="15.75" customHeight="1" x14ac:dyDescent="0.25">
      <c r="BN180" s="6"/>
      <c r="BO180" s="7"/>
      <c r="BP180" s="1"/>
      <c r="BQ180" s="1"/>
    </row>
    <row r="181" spans="66:69" ht="15.75" customHeight="1" x14ac:dyDescent="0.25">
      <c r="BN181" s="6"/>
      <c r="BO181" s="7"/>
      <c r="BP181" s="1"/>
      <c r="BQ181" s="1"/>
    </row>
    <row r="182" spans="66:69" ht="15.75" customHeight="1" x14ac:dyDescent="0.25">
      <c r="BN182" s="6"/>
      <c r="BO182" s="7"/>
      <c r="BP182" s="1"/>
      <c r="BQ182" s="1"/>
    </row>
    <row r="183" spans="66:69" ht="15.75" customHeight="1" x14ac:dyDescent="0.25">
      <c r="BN183" s="6"/>
      <c r="BO183" s="7"/>
      <c r="BP183" s="1"/>
      <c r="BQ183" s="1"/>
    </row>
    <row r="184" spans="66:69" ht="15.75" customHeight="1" x14ac:dyDescent="0.25">
      <c r="BN184" s="6"/>
      <c r="BO184" s="7"/>
      <c r="BP184" s="1"/>
      <c r="BQ184" s="1"/>
    </row>
    <row r="185" spans="66:69" ht="15.75" customHeight="1" x14ac:dyDescent="0.25">
      <c r="BN185" s="6"/>
      <c r="BO185" s="7"/>
      <c r="BP185" s="1"/>
      <c r="BQ185" s="1"/>
    </row>
    <row r="186" spans="66:69" ht="15.75" customHeight="1" x14ac:dyDescent="0.25">
      <c r="BN186" s="6"/>
      <c r="BO186" s="7"/>
      <c r="BP186" s="1"/>
      <c r="BQ186" s="1"/>
    </row>
    <row r="187" spans="66:69" ht="15.75" customHeight="1" x14ac:dyDescent="0.25">
      <c r="BN187" s="6"/>
      <c r="BO187" s="7"/>
      <c r="BP187" s="1"/>
      <c r="BQ187" s="1"/>
    </row>
    <row r="188" spans="66:69" ht="15.75" customHeight="1" x14ac:dyDescent="0.25">
      <c r="BN188" s="6"/>
      <c r="BO188" s="7"/>
      <c r="BP188" s="1"/>
      <c r="BQ188" s="1"/>
    </row>
    <row r="189" spans="66:69" ht="15.75" customHeight="1" x14ac:dyDescent="0.25">
      <c r="BN189" s="6"/>
      <c r="BO189" s="7"/>
      <c r="BP189" s="1"/>
      <c r="BQ189" s="1"/>
    </row>
    <row r="190" spans="66:69" ht="15.75" customHeight="1" x14ac:dyDescent="0.25">
      <c r="BN190" s="6"/>
      <c r="BO190" s="7"/>
      <c r="BP190" s="1"/>
      <c r="BQ190" s="1"/>
    </row>
    <row r="191" spans="66:69" ht="15.75" customHeight="1" x14ac:dyDescent="0.25">
      <c r="BN191" s="6"/>
      <c r="BO191" s="7"/>
      <c r="BP191" s="1"/>
      <c r="BQ191" s="1"/>
    </row>
    <row r="192" spans="66:69" ht="15.75" customHeight="1" x14ac:dyDescent="0.25">
      <c r="BN192" s="6"/>
      <c r="BO192" s="7"/>
      <c r="BP192" s="1"/>
      <c r="BQ192" s="1"/>
    </row>
    <row r="193" spans="66:69" ht="15.75" customHeight="1" x14ac:dyDescent="0.25">
      <c r="BN193" s="6"/>
      <c r="BO193" s="7"/>
      <c r="BP193" s="1"/>
      <c r="BQ193" s="1"/>
    </row>
    <row r="194" spans="66:69" ht="15.75" customHeight="1" x14ac:dyDescent="0.25">
      <c r="BN194" s="6"/>
      <c r="BO194" s="7"/>
      <c r="BP194" s="1"/>
      <c r="BQ194" s="1"/>
    </row>
    <row r="195" spans="66:69" ht="15.75" customHeight="1" x14ac:dyDescent="0.25">
      <c r="BN195" s="6"/>
      <c r="BO195" s="7"/>
      <c r="BP195" s="1"/>
      <c r="BQ195" s="1"/>
    </row>
    <row r="196" spans="66:69" ht="15.75" customHeight="1" x14ac:dyDescent="0.25">
      <c r="BN196" s="6"/>
      <c r="BO196" s="7"/>
      <c r="BP196" s="1"/>
      <c r="BQ196" s="1"/>
    </row>
    <row r="197" spans="66:69" ht="15.75" customHeight="1" x14ac:dyDescent="0.25">
      <c r="BN197" s="6"/>
      <c r="BO197" s="7"/>
      <c r="BP197" s="1"/>
      <c r="BQ197" s="1"/>
    </row>
    <row r="198" spans="66:69" ht="15.75" customHeight="1" x14ac:dyDescent="0.25">
      <c r="BN198" s="6"/>
      <c r="BO198" s="7"/>
      <c r="BP198" s="1"/>
      <c r="BQ198" s="1"/>
    </row>
    <row r="199" spans="66:69" ht="15.75" customHeight="1" x14ac:dyDescent="0.25">
      <c r="BN199" s="6"/>
      <c r="BO199" s="7"/>
      <c r="BP199" s="1"/>
      <c r="BQ199" s="1"/>
    </row>
    <row r="200" spans="66:69" ht="15.75" customHeight="1" x14ac:dyDescent="0.25">
      <c r="BN200" s="6"/>
      <c r="BO200" s="7"/>
      <c r="BP200" s="1"/>
      <c r="BQ200" s="1"/>
    </row>
    <row r="201" spans="66:69" ht="15.75" customHeight="1" x14ac:dyDescent="0.25">
      <c r="BN201" s="6"/>
      <c r="BO201" s="7"/>
      <c r="BP201" s="1"/>
      <c r="BQ201" s="1"/>
    </row>
    <row r="202" spans="66:69" ht="15.75" customHeight="1" x14ac:dyDescent="0.25">
      <c r="BN202" s="6"/>
      <c r="BO202" s="7"/>
      <c r="BP202" s="1"/>
      <c r="BQ202" s="1"/>
    </row>
    <row r="203" spans="66:69" ht="15.75" customHeight="1" x14ac:dyDescent="0.25">
      <c r="BN203" s="6"/>
      <c r="BO203" s="7"/>
      <c r="BP203" s="1"/>
      <c r="BQ203" s="1"/>
    </row>
    <row r="204" spans="66:69" ht="15.75" customHeight="1" x14ac:dyDescent="0.25">
      <c r="BN204" s="6"/>
      <c r="BO204" s="7"/>
      <c r="BP204" s="1"/>
      <c r="BQ204" s="1"/>
    </row>
    <row r="205" spans="66:69" ht="15.75" customHeight="1" x14ac:dyDescent="0.25">
      <c r="BN205" s="6"/>
      <c r="BO205" s="7"/>
      <c r="BP205" s="1"/>
      <c r="BQ205" s="1"/>
    </row>
    <row r="206" spans="66:69" ht="15.75" customHeight="1" x14ac:dyDescent="0.25">
      <c r="BN206" s="6"/>
      <c r="BO206" s="7"/>
      <c r="BP206" s="1"/>
      <c r="BQ206" s="1"/>
    </row>
    <row r="207" spans="66:69" ht="15.75" customHeight="1" x14ac:dyDescent="0.25">
      <c r="BN207" s="6"/>
      <c r="BO207" s="7"/>
      <c r="BP207" s="1"/>
      <c r="BQ207" s="1"/>
    </row>
    <row r="208" spans="66:69" ht="15.75" customHeight="1" x14ac:dyDescent="0.25">
      <c r="BN208" s="6"/>
      <c r="BO208" s="7"/>
      <c r="BP208" s="1"/>
      <c r="BQ208" s="1"/>
    </row>
    <row r="209" spans="66:69" ht="15.75" customHeight="1" x14ac:dyDescent="0.25">
      <c r="BN209" s="6"/>
      <c r="BO209" s="7"/>
      <c r="BP209" s="1"/>
      <c r="BQ209" s="1"/>
    </row>
    <row r="210" spans="66:69" ht="15.75" customHeight="1" x14ac:dyDescent="0.25">
      <c r="BN210" s="6"/>
      <c r="BO210" s="7"/>
      <c r="BP210" s="1"/>
      <c r="BQ210" s="1"/>
    </row>
    <row r="211" spans="66:69" ht="15.75" customHeight="1" x14ac:dyDescent="0.25">
      <c r="BN211" s="6"/>
      <c r="BO211" s="7"/>
      <c r="BP211" s="1"/>
      <c r="BQ211" s="1"/>
    </row>
    <row r="212" spans="66:69" ht="15.75" customHeight="1" x14ac:dyDescent="0.25">
      <c r="BN212" s="6"/>
      <c r="BO212" s="7"/>
      <c r="BP212" s="1"/>
      <c r="BQ212" s="1"/>
    </row>
    <row r="213" spans="66:69" ht="15.75" customHeight="1" x14ac:dyDescent="0.25">
      <c r="BN213" s="6"/>
      <c r="BO213" s="7"/>
      <c r="BP213" s="1"/>
      <c r="BQ213" s="1"/>
    </row>
    <row r="214" spans="66:69" ht="15.75" customHeight="1" x14ac:dyDescent="0.25">
      <c r="BN214" s="6"/>
      <c r="BO214" s="7"/>
      <c r="BP214" s="1"/>
      <c r="BQ214" s="1"/>
    </row>
    <row r="215" spans="66:69" ht="15.75" customHeight="1" x14ac:dyDescent="0.25">
      <c r="BN215" s="6"/>
      <c r="BO215" s="7"/>
      <c r="BP215" s="1"/>
      <c r="BQ215" s="1"/>
    </row>
    <row r="216" spans="66:69" ht="15.75" customHeight="1" x14ac:dyDescent="0.25">
      <c r="BN216" s="6"/>
      <c r="BO216" s="7"/>
      <c r="BP216" s="1"/>
      <c r="BQ216" s="1"/>
    </row>
    <row r="217" spans="66:69" ht="15.75" customHeight="1" x14ac:dyDescent="0.25">
      <c r="BN217" s="6"/>
      <c r="BO217" s="7"/>
      <c r="BP217" s="1"/>
      <c r="BQ217" s="1"/>
    </row>
    <row r="218" spans="66:69" ht="15.75" customHeight="1" x14ac:dyDescent="0.25">
      <c r="BN218" s="6"/>
      <c r="BO218" s="7"/>
      <c r="BP218" s="1"/>
      <c r="BQ218" s="1"/>
    </row>
    <row r="219" spans="66:69" ht="15.75" customHeight="1" x14ac:dyDescent="0.25">
      <c r="BN219" s="6"/>
      <c r="BO219" s="7"/>
      <c r="BP219" s="1"/>
      <c r="BQ219" s="1"/>
    </row>
    <row r="220" spans="66:69" ht="15.75" customHeight="1" x14ac:dyDescent="0.25">
      <c r="BN220" s="6"/>
      <c r="BO220" s="7"/>
      <c r="BP220" s="1"/>
      <c r="BQ220" s="1"/>
    </row>
    <row r="221" spans="66:69" ht="15.75" customHeight="1" x14ac:dyDescent="0.25">
      <c r="BN221" s="6"/>
      <c r="BO221" s="7"/>
      <c r="BP221" s="1"/>
      <c r="BQ221" s="1"/>
    </row>
    <row r="222" spans="66:69" ht="15.75" customHeight="1" x14ac:dyDescent="0.25">
      <c r="BN222" s="6"/>
      <c r="BO222" s="7"/>
      <c r="BP222" s="1"/>
      <c r="BQ222" s="1"/>
    </row>
    <row r="223" spans="66:69" ht="15.75" customHeight="1" x14ac:dyDescent="0.25">
      <c r="BN223" s="6"/>
      <c r="BO223" s="7"/>
      <c r="BP223" s="1"/>
      <c r="BQ223" s="1"/>
    </row>
    <row r="224" spans="66:69" ht="15.75" customHeight="1" x14ac:dyDescent="0.25">
      <c r="BN224" s="6"/>
      <c r="BO224" s="7"/>
      <c r="BP224" s="1"/>
      <c r="BQ224" s="1"/>
    </row>
    <row r="225" spans="66:69" ht="15.75" customHeight="1" x14ac:dyDescent="0.25">
      <c r="BN225" s="6"/>
      <c r="BO225" s="7"/>
      <c r="BP225" s="1"/>
      <c r="BQ225" s="1"/>
    </row>
    <row r="226" spans="66:69" ht="15.75" customHeight="1" x14ac:dyDescent="0.25">
      <c r="BN226" s="6"/>
      <c r="BO226" s="7"/>
      <c r="BP226" s="1"/>
      <c r="BQ226" s="1"/>
    </row>
    <row r="227" spans="66:69" ht="15.75" customHeight="1" x14ac:dyDescent="0.25">
      <c r="BN227" s="6"/>
      <c r="BO227" s="7"/>
      <c r="BP227" s="1"/>
      <c r="BQ227" s="1"/>
    </row>
    <row r="228" spans="66:69" ht="15.75" customHeight="1" x14ac:dyDescent="0.25">
      <c r="BN228" s="6"/>
      <c r="BO228" s="7"/>
      <c r="BP228" s="1"/>
      <c r="BQ228" s="1"/>
    </row>
    <row r="229" spans="66:69" ht="15.75" customHeight="1" x14ac:dyDescent="0.25">
      <c r="BN229" s="6"/>
      <c r="BO229" s="7"/>
      <c r="BP229" s="1"/>
      <c r="BQ229" s="1"/>
    </row>
    <row r="230" spans="66:69" ht="15.75" customHeight="1" x14ac:dyDescent="0.25">
      <c r="BN230" s="6"/>
      <c r="BO230" s="7"/>
      <c r="BP230" s="1"/>
      <c r="BQ230" s="1"/>
    </row>
    <row r="231" spans="66:69" ht="15.75" customHeight="1" x14ac:dyDescent="0.25">
      <c r="BN231" s="6"/>
      <c r="BO231" s="7"/>
      <c r="BP231" s="1"/>
      <c r="BQ231" s="1"/>
    </row>
    <row r="232" spans="66:69" ht="15.75" customHeight="1" x14ac:dyDescent="0.25">
      <c r="BN232" s="6"/>
      <c r="BO232" s="7"/>
      <c r="BP232" s="1"/>
      <c r="BQ232" s="1"/>
    </row>
    <row r="233" spans="66:69" ht="15.75" customHeight="1" x14ac:dyDescent="0.25">
      <c r="BN233" s="6"/>
      <c r="BO233" s="7"/>
      <c r="BP233" s="1"/>
      <c r="BQ233" s="1"/>
    </row>
    <row r="234" spans="66:69" ht="15.75" customHeight="1" x14ac:dyDescent="0.25">
      <c r="BN234" s="6"/>
      <c r="BO234" s="7"/>
      <c r="BP234" s="1"/>
      <c r="BQ234" s="1"/>
    </row>
    <row r="235" spans="66:69" ht="15.75" customHeight="1" x14ac:dyDescent="0.25">
      <c r="BN235" s="6"/>
      <c r="BO235" s="7"/>
      <c r="BP235" s="1"/>
      <c r="BQ235" s="1"/>
    </row>
    <row r="236" spans="66:69" ht="15.75" customHeight="1" x14ac:dyDescent="0.25">
      <c r="BN236" s="6"/>
      <c r="BO236" s="7"/>
      <c r="BP236" s="1"/>
      <c r="BQ236" s="1"/>
    </row>
    <row r="237" spans="66:69" ht="15.75" customHeight="1" x14ac:dyDescent="0.25">
      <c r="BN237" s="6"/>
      <c r="BO237" s="7"/>
      <c r="BP237" s="1"/>
      <c r="BQ237" s="1"/>
    </row>
    <row r="238" spans="66:69" ht="15.75" customHeight="1" x14ac:dyDescent="0.25">
      <c r="BN238" s="6"/>
      <c r="BO238" s="7"/>
      <c r="BP238" s="1"/>
      <c r="BQ238" s="1"/>
    </row>
    <row r="239" spans="66:69" ht="15.75" customHeight="1" x14ac:dyDescent="0.25">
      <c r="BN239" s="6"/>
      <c r="BO239" s="7"/>
      <c r="BP239" s="1"/>
      <c r="BQ239" s="1"/>
    </row>
    <row r="240" spans="66:69" ht="15.75" customHeight="1" x14ac:dyDescent="0.25">
      <c r="BN240" s="6"/>
      <c r="BO240" s="7"/>
      <c r="BP240" s="1"/>
      <c r="BQ240" s="1"/>
    </row>
    <row r="241" spans="66:69" ht="15.75" customHeight="1" x14ac:dyDescent="0.25">
      <c r="BN241" s="6"/>
      <c r="BO241" s="7"/>
      <c r="BP241" s="1"/>
      <c r="BQ241" s="1"/>
    </row>
    <row r="242" spans="66:69" ht="15.75" customHeight="1" x14ac:dyDescent="0.25">
      <c r="BN242" s="6"/>
      <c r="BO242" s="7"/>
      <c r="BP242" s="1"/>
      <c r="BQ242" s="1"/>
    </row>
    <row r="243" spans="66:69" ht="15.75" customHeight="1" x14ac:dyDescent="0.25">
      <c r="BN243" s="6"/>
      <c r="BO243" s="7"/>
      <c r="BP243" s="1"/>
      <c r="BQ243" s="1"/>
    </row>
    <row r="244" spans="66:69" ht="15.75" customHeight="1" x14ac:dyDescent="0.25">
      <c r="BN244" s="6"/>
      <c r="BO244" s="7"/>
      <c r="BP244" s="1"/>
      <c r="BQ244" s="1"/>
    </row>
    <row r="245" spans="66:69" ht="15.75" customHeight="1" x14ac:dyDescent="0.25">
      <c r="BN245" s="6"/>
      <c r="BO245" s="7"/>
      <c r="BP245" s="1"/>
      <c r="BQ245" s="1"/>
    </row>
    <row r="246" spans="66:69" ht="15.75" customHeight="1" x14ac:dyDescent="0.25">
      <c r="BN246" s="6"/>
      <c r="BO246" s="7"/>
      <c r="BP246" s="1"/>
      <c r="BQ246" s="1"/>
    </row>
    <row r="247" spans="66:69" ht="15.75" customHeight="1" x14ac:dyDescent="0.25">
      <c r="BN247" s="6"/>
      <c r="BO247" s="7"/>
      <c r="BP247" s="1"/>
      <c r="BQ247" s="1"/>
    </row>
    <row r="248" spans="66:69" ht="15.75" customHeight="1" x14ac:dyDescent="0.25">
      <c r="BN248" s="6"/>
      <c r="BO248" s="7"/>
      <c r="BP248" s="1"/>
      <c r="BQ248" s="1"/>
    </row>
    <row r="249" spans="66:69" ht="15.75" customHeight="1" x14ac:dyDescent="0.25">
      <c r="BN249" s="6"/>
      <c r="BO249" s="7"/>
      <c r="BP249" s="1"/>
      <c r="BQ249" s="1"/>
    </row>
    <row r="250" spans="66:69" ht="15.75" customHeight="1" x14ac:dyDescent="0.25">
      <c r="BN250" s="6"/>
      <c r="BO250" s="7"/>
      <c r="BP250" s="1"/>
      <c r="BQ250" s="1"/>
    </row>
    <row r="251" spans="66:69" ht="15.75" customHeight="1" x14ac:dyDescent="0.25">
      <c r="BN251" s="6"/>
      <c r="BO251" s="7"/>
      <c r="BP251" s="1"/>
      <c r="BQ251" s="1"/>
    </row>
    <row r="252" spans="66:69" ht="15.75" customHeight="1" x14ac:dyDescent="0.25">
      <c r="BN252" s="6"/>
      <c r="BO252" s="7"/>
      <c r="BP252" s="1"/>
      <c r="BQ252" s="1"/>
    </row>
    <row r="253" spans="66:69" ht="15.75" customHeight="1" x14ac:dyDescent="0.25">
      <c r="BN253" s="6"/>
      <c r="BO253" s="7"/>
      <c r="BP253" s="1"/>
      <c r="BQ253" s="1"/>
    </row>
    <row r="254" spans="66:69" ht="15.75" customHeight="1" x14ac:dyDescent="0.25">
      <c r="BN254" s="6"/>
      <c r="BO254" s="7"/>
      <c r="BP254" s="1"/>
      <c r="BQ254" s="1"/>
    </row>
    <row r="255" spans="66:69" ht="15.75" customHeight="1" x14ac:dyDescent="0.25">
      <c r="BN255" s="6"/>
      <c r="BO255" s="7"/>
      <c r="BP255" s="1"/>
      <c r="BQ255" s="1"/>
    </row>
    <row r="256" spans="66:69" ht="15.75" customHeight="1" x14ac:dyDescent="0.25">
      <c r="BN256" s="6"/>
      <c r="BO256" s="7"/>
      <c r="BP256" s="1"/>
      <c r="BQ256" s="1"/>
    </row>
    <row r="257" spans="66:69" ht="15.75" customHeight="1" x14ac:dyDescent="0.25">
      <c r="BN257" s="6"/>
      <c r="BO257" s="7"/>
      <c r="BP257" s="1"/>
      <c r="BQ257" s="1"/>
    </row>
    <row r="258" spans="66:69" ht="15.75" customHeight="1" x14ac:dyDescent="0.25">
      <c r="BN258" s="6"/>
      <c r="BO258" s="7"/>
      <c r="BP258" s="1"/>
      <c r="BQ258" s="1"/>
    </row>
    <row r="259" spans="66:69" ht="15.75" customHeight="1" x14ac:dyDescent="0.25">
      <c r="BN259" s="6"/>
      <c r="BO259" s="7"/>
      <c r="BP259" s="1"/>
      <c r="BQ259" s="1"/>
    </row>
    <row r="260" spans="66:69" ht="15.75" customHeight="1" x14ac:dyDescent="0.25">
      <c r="BN260" s="6"/>
      <c r="BO260" s="7"/>
      <c r="BP260" s="1"/>
      <c r="BQ260" s="1"/>
    </row>
    <row r="261" spans="66:69" ht="15.75" customHeight="1" x14ac:dyDescent="0.25">
      <c r="BN261" s="6"/>
      <c r="BO261" s="7"/>
      <c r="BP261" s="1"/>
      <c r="BQ261" s="1"/>
    </row>
    <row r="262" spans="66:69" ht="15.75" customHeight="1" x14ac:dyDescent="0.25">
      <c r="BN262" s="6"/>
      <c r="BO262" s="7"/>
      <c r="BP262" s="1"/>
      <c r="BQ262" s="1"/>
    </row>
    <row r="263" spans="66:69" ht="15.75" customHeight="1" x14ac:dyDescent="0.25">
      <c r="BN263" s="6"/>
      <c r="BO263" s="7"/>
      <c r="BP263" s="1"/>
      <c r="BQ263" s="1"/>
    </row>
    <row r="264" spans="66:69" ht="15.75" customHeight="1" x14ac:dyDescent="0.25">
      <c r="BN264" s="6"/>
      <c r="BO264" s="7"/>
      <c r="BP264" s="1"/>
      <c r="BQ264" s="1"/>
    </row>
    <row r="265" spans="66:69" ht="15.75" customHeight="1" x14ac:dyDescent="0.25">
      <c r="BN265" s="6"/>
      <c r="BO265" s="7"/>
      <c r="BP265" s="1"/>
      <c r="BQ265" s="1"/>
    </row>
    <row r="266" spans="66:69" ht="15.75" customHeight="1" x14ac:dyDescent="0.25">
      <c r="BN266" s="6"/>
      <c r="BO266" s="7"/>
      <c r="BP266" s="1"/>
      <c r="BQ266" s="1"/>
    </row>
    <row r="267" spans="66:69" ht="15.75" customHeight="1" x14ac:dyDescent="0.25">
      <c r="BN267" s="6"/>
      <c r="BO267" s="7"/>
      <c r="BP267" s="1"/>
      <c r="BQ267" s="1"/>
    </row>
    <row r="268" spans="66:69" ht="15.75" customHeight="1" x14ac:dyDescent="0.25">
      <c r="BN268" s="6"/>
      <c r="BO268" s="7"/>
      <c r="BP268" s="1"/>
      <c r="BQ268" s="1"/>
    </row>
    <row r="269" spans="66:69" ht="15.75" customHeight="1" x14ac:dyDescent="0.25">
      <c r="BN269" s="6"/>
      <c r="BO269" s="7"/>
      <c r="BP269" s="1"/>
      <c r="BQ269" s="1"/>
    </row>
    <row r="270" spans="66:69" ht="15.75" customHeight="1" x14ac:dyDescent="0.25">
      <c r="BN270" s="6"/>
      <c r="BO270" s="7"/>
      <c r="BP270" s="1"/>
      <c r="BQ270" s="1"/>
    </row>
    <row r="271" spans="66:69" ht="15.75" customHeight="1" x14ac:dyDescent="0.25">
      <c r="BN271" s="6"/>
      <c r="BO271" s="7"/>
      <c r="BP271" s="1"/>
      <c r="BQ271" s="1"/>
    </row>
    <row r="272" spans="66:69" ht="15.75" customHeight="1" x14ac:dyDescent="0.25">
      <c r="BN272" s="6"/>
      <c r="BO272" s="7"/>
      <c r="BP272" s="1"/>
      <c r="BQ272" s="1"/>
    </row>
    <row r="273" spans="66:69" ht="15.75" customHeight="1" x14ac:dyDescent="0.25">
      <c r="BN273" s="6"/>
      <c r="BO273" s="7"/>
      <c r="BP273" s="1"/>
      <c r="BQ273" s="1"/>
    </row>
    <row r="274" spans="66:69" ht="15.75" customHeight="1" x14ac:dyDescent="0.25">
      <c r="BN274" s="6"/>
      <c r="BO274" s="7"/>
      <c r="BP274" s="1"/>
      <c r="BQ274" s="1"/>
    </row>
    <row r="275" spans="66:69" ht="15.75" customHeight="1" x14ac:dyDescent="0.25">
      <c r="BN275" s="6"/>
      <c r="BO275" s="7"/>
      <c r="BP275" s="1"/>
      <c r="BQ275" s="1"/>
    </row>
    <row r="276" spans="66:69" ht="15.75" customHeight="1" x14ac:dyDescent="0.25">
      <c r="BN276" s="6"/>
      <c r="BO276" s="7"/>
      <c r="BP276" s="1"/>
      <c r="BQ276" s="1"/>
    </row>
    <row r="277" spans="66:69" ht="15.75" customHeight="1" x14ac:dyDescent="0.25">
      <c r="BN277" s="6"/>
      <c r="BO277" s="7"/>
      <c r="BP277" s="1"/>
      <c r="BQ277" s="1"/>
    </row>
    <row r="278" spans="66:69" ht="15.75" customHeight="1" x14ac:dyDescent="0.25">
      <c r="BN278" s="6"/>
      <c r="BO278" s="7"/>
      <c r="BP278" s="1"/>
      <c r="BQ278" s="1"/>
    </row>
    <row r="279" spans="66:69" ht="15.75" customHeight="1" x14ac:dyDescent="0.25">
      <c r="BN279" s="6"/>
      <c r="BO279" s="7"/>
      <c r="BP279" s="1"/>
      <c r="BQ279" s="1"/>
    </row>
    <row r="280" spans="66:69" ht="15.75" customHeight="1" x14ac:dyDescent="0.25">
      <c r="BN280" s="6"/>
      <c r="BO280" s="7"/>
      <c r="BP280" s="1"/>
      <c r="BQ280" s="1"/>
    </row>
    <row r="281" spans="66:69" ht="15.75" customHeight="1" x14ac:dyDescent="0.25">
      <c r="BN281" s="6"/>
      <c r="BO281" s="7"/>
      <c r="BP281" s="1"/>
      <c r="BQ281" s="1"/>
    </row>
    <row r="282" spans="66:69" ht="15.75" customHeight="1" x14ac:dyDescent="0.25">
      <c r="BN282" s="6"/>
      <c r="BO282" s="7"/>
      <c r="BP282" s="1"/>
      <c r="BQ282" s="1"/>
    </row>
    <row r="283" spans="66:69" ht="15.75" customHeight="1" x14ac:dyDescent="0.25">
      <c r="BN283" s="6"/>
      <c r="BO283" s="7"/>
      <c r="BP283" s="1"/>
      <c r="BQ283" s="1"/>
    </row>
    <row r="284" spans="66:69" ht="15.75" customHeight="1" x14ac:dyDescent="0.25">
      <c r="BN284" s="6"/>
      <c r="BO284" s="7"/>
      <c r="BP284" s="1"/>
      <c r="BQ284" s="1"/>
    </row>
    <row r="285" spans="66:69" ht="15.75" customHeight="1" x14ac:dyDescent="0.25">
      <c r="BN285" s="6"/>
      <c r="BO285" s="7"/>
      <c r="BP285" s="1"/>
      <c r="BQ285" s="1"/>
    </row>
    <row r="286" spans="66:69" ht="15.75" customHeight="1" x14ac:dyDescent="0.25">
      <c r="BN286" s="6"/>
      <c r="BO286" s="7"/>
      <c r="BP286" s="1"/>
      <c r="BQ286" s="1"/>
    </row>
    <row r="287" spans="66:69" ht="15.75" customHeight="1" x14ac:dyDescent="0.25">
      <c r="BN287" s="6"/>
      <c r="BO287" s="7"/>
      <c r="BP287" s="1"/>
      <c r="BQ287" s="1"/>
    </row>
    <row r="288" spans="66:69" ht="15.75" customHeight="1" x14ac:dyDescent="0.25">
      <c r="BN288" s="6"/>
      <c r="BO288" s="7"/>
      <c r="BP288" s="1"/>
      <c r="BQ288" s="1"/>
    </row>
    <row r="289" spans="66:69" ht="15.75" customHeight="1" x14ac:dyDescent="0.25">
      <c r="BN289" s="6"/>
      <c r="BO289" s="7"/>
      <c r="BP289" s="1"/>
      <c r="BQ289" s="1"/>
    </row>
    <row r="290" spans="66:69" ht="15.75" customHeight="1" x14ac:dyDescent="0.25">
      <c r="BN290" s="6"/>
      <c r="BO290" s="7"/>
      <c r="BP290" s="1"/>
      <c r="BQ290" s="1"/>
    </row>
    <row r="291" spans="66:69" ht="15.75" customHeight="1" x14ac:dyDescent="0.25">
      <c r="BN291" s="6"/>
      <c r="BO291" s="7"/>
      <c r="BP291" s="1"/>
      <c r="BQ291" s="1"/>
    </row>
    <row r="292" spans="66:69" ht="15.75" customHeight="1" x14ac:dyDescent="0.25">
      <c r="BN292" s="6"/>
      <c r="BO292" s="7"/>
      <c r="BP292" s="1"/>
      <c r="BQ292" s="1"/>
    </row>
    <row r="293" spans="66:69" ht="15.75" customHeight="1" x14ac:dyDescent="0.25">
      <c r="BN293" s="6"/>
      <c r="BO293" s="7"/>
      <c r="BP293" s="1"/>
      <c r="BQ293" s="1"/>
    </row>
    <row r="294" spans="66:69" ht="15.75" customHeight="1" x14ac:dyDescent="0.25">
      <c r="BN294" s="6"/>
      <c r="BO294" s="7"/>
      <c r="BP294" s="1"/>
      <c r="BQ294" s="1"/>
    </row>
    <row r="295" spans="66:69" ht="15.75" customHeight="1" x14ac:dyDescent="0.25">
      <c r="BN295" s="6"/>
      <c r="BO295" s="7"/>
      <c r="BP295" s="1"/>
      <c r="BQ295" s="1"/>
    </row>
    <row r="296" spans="66:69" ht="15.75" customHeight="1" x14ac:dyDescent="0.25">
      <c r="BN296" s="6"/>
      <c r="BO296" s="7"/>
      <c r="BP296" s="1"/>
      <c r="BQ296" s="1"/>
    </row>
    <row r="297" spans="66:69" ht="15.75" customHeight="1" x14ac:dyDescent="0.25">
      <c r="BN297" s="6"/>
      <c r="BO297" s="7"/>
      <c r="BP297" s="1"/>
      <c r="BQ297" s="1"/>
    </row>
    <row r="298" spans="66:69" ht="15.75" customHeight="1" x14ac:dyDescent="0.25">
      <c r="BN298" s="6"/>
      <c r="BO298" s="7"/>
      <c r="BP298" s="1"/>
      <c r="BQ298" s="1"/>
    </row>
    <row r="299" spans="66:69" ht="15.75" customHeight="1" x14ac:dyDescent="0.25">
      <c r="BN299" s="6"/>
      <c r="BO299" s="7"/>
      <c r="BP299" s="1"/>
      <c r="BQ299" s="1"/>
    </row>
    <row r="300" spans="66:69" ht="15.75" customHeight="1" x14ac:dyDescent="0.25">
      <c r="BN300" s="6"/>
      <c r="BO300" s="7"/>
      <c r="BP300" s="1"/>
      <c r="BQ300" s="1"/>
    </row>
    <row r="301" spans="66:69" ht="15.75" customHeight="1" x14ac:dyDescent="0.25">
      <c r="BN301" s="6"/>
      <c r="BO301" s="7"/>
      <c r="BP301" s="1"/>
      <c r="BQ301" s="1"/>
    </row>
    <row r="302" spans="66:69" ht="15.75" customHeight="1" x14ac:dyDescent="0.25">
      <c r="BN302" s="6"/>
      <c r="BO302" s="7"/>
      <c r="BP302" s="1"/>
      <c r="BQ302" s="1"/>
    </row>
    <row r="303" spans="66:69" ht="15.75" customHeight="1" x14ac:dyDescent="0.25">
      <c r="BN303" s="6"/>
      <c r="BO303" s="7"/>
      <c r="BP303" s="1"/>
      <c r="BQ303" s="1"/>
    </row>
    <row r="304" spans="66:69" ht="15.75" customHeight="1" x14ac:dyDescent="0.25">
      <c r="BN304" s="6"/>
      <c r="BO304" s="7"/>
      <c r="BP304" s="1"/>
      <c r="BQ304" s="1"/>
    </row>
    <row r="305" spans="66:69" ht="15.75" customHeight="1" x14ac:dyDescent="0.25">
      <c r="BN305" s="6"/>
      <c r="BO305" s="7"/>
      <c r="BP305" s="1"/>
      <c r="BQ305" s="1"/>
    </row>
    <row r="306" spans="66:69" ht="15.75" customHeight="1" x14ac:dyDescent="0.25">
      <c r="BN306" s="6"/>
      <c r="BO306" s="7"/>
      <c r="BP306" s="1"/>
      <c r="BQ306" s="1"/>
    </row>
    <row r="307" spans="66:69" ht="15.75" customHeight="1" x14ac:dyDescent="0.25">
      <c r="BN307" s="6"/>
      <c r="BO307" s="7"/>
      <c r="BP307" s="1"/>
      <c r="BQ307" s="1"/>
    </row>
    <row r="308" spans="66:69" ht="15.75" customHeight="1" x14ac:dyDescent="0.25">
      <c r="BN308" s="6"/>
      <c r="BO308" s="7"/>
      <c r="BP308" s="1"/>
      <c r="BQ308" s="1"/>
    </row>
    <row r="309" spans="66:69" ht="15.75" customHeight="1" x14ac:dyDescent="0.25">
      <c r="BN309" s="6"/>
      <c r="BO309" s="7"/>
      <c r="BP309" s="1"/>
      <c r="BQ309" s="1"/>
    </row>
    <row r="310" spans="66:69" ht="15.75" customHeight="1" x14ac:dyDescent="0.25">
      <c r="BN310" s="6"/>
      <c r="BO310" s="7"/>
      <c r="BP310" s="1"/>
      <c r="BQ310" s="1"/>
    </row>
    <row r="311" spans="66:69" ht="15.75" customHeight="1" x14ac:dyDescent="0.25">
      <c r="BN311" s="6"/>
      <c r="BO311" s="7"/>
      <c r="BP311" s="1"/>
      <c r="BQ311" s="1"/>
    </row>
    <row r="312" spans="66:69" ht="15.75" customHeight="1" x14ac:dyDescent="0.25">
      <c r="BN312" s="6"/>
      <c r="BO312" s="7"/>
      <c r="BP312" s="1"/>
      <c r="BQ312" s="1"/>
    </row>
    <row r="313" spans="66:69" ht="15.75" customHeight="1" x14ac:dyDescent="0.25">
      <c r="BN313" s="6"/>
      <c r="BO313" s="7"/>
      <c r="BP313" s="1"/>
      <c r="BQ313" s="1"/>
    </row>
    <row r="314" spans="66:69" ht="15.75" customHeight="1" x14ac:dyDescent="0.25">
      <c r="BN314" s="6"/>
      <c r="BO314" s="7"/>
      <c r="BP314" s="1"/>
      <c r="BQ314" s="1"/>
    </row>
    <row r="315" spans="66:69" ht="15.75" customHeight="1" x14ac:dyDescent="0.25">
      <c r="BN315" s="6"/>
      <c r="BO315" s="7"/>
      <c r="BP315" s="1"/>
      <c r="BQ315" s="1"/>
    </row>
    <row r="316" spans="66:69" ht="15.75" customHeight="1" x14ac:dyDescent="0.25">
      <c r="BN316" s="6"/>
      <c r="BO316" s="7"/>
      <c r="BP316" s="1"/>
      <c r="BQ316" s="1"/>
    </row>
    <row r="317" spans="66:69" ht="15.75" customHeight="1" x14ac:dyDescent="0.25">
      <c r="BN317" s="6"/>
      <c r="BO317" s="7"/>
      <c r="BP317" s="1"/>
      <c r="BQ317" s="1"/>
    </row>
    <row r="318" spans="66:69" ht="15.75" customHeight="1" x14ac:dyDescent="0.25">
      <c r="BN318" s="6"/>
      <c r="BO318" s="7"/>
      <c r="BP318" s="1"/>
      <c r="BQ318" s="1"/>
    </row>
    <row r="319" spans="66:69" ht="15.75" customHeight="1" x14ac:dyDescent="0.25">
      <c r="BN319" s="6"/>
      <c r="BO319" s="7"/>
      <c r="BP319" s="1"/>
      <c r="BQ319" s="1"/>
    </row>
    <row r="320" spans="66:69" ht="15.75" customHeight="1" x14ac:dyDescent="0.25">
      <c r="BN320" s="6"/>
      <c r="BO320" s="7"/>
      <c r="BP320" s="1"/>
      <c r="BQ320" s="1"/>
    </row>
    <row r="321" spans="66:69" ht="15.75" customHeight="1" x14ac:dyDescent="0.25">
      <c r="BN321" s="6"/>
      <c r="BO321" s="7"/>
      <c r="BP321" s="1"/>
      <c r="BQ321" s="1"/>
    </row>
    <row r="322" spans="66:69" ht="15.75" customHeight="1" x14ac:dyDescent="0.25">
      <c r="BN322" s="6"/>
      <c r="BO322" s="7"/>
      <c r="BP322" s="1"/>
      <c r="BQ322" s="1"/>
    </row>
    <row r="323" spans="66:69" ht="15.75" customHeight="1" x14ac:dyDescent="0.25">
      <c r="BN323" s="6"/>
      <c r="BO323" s="7"/>
      <c r="BP323" s="1"/>
      <c r="BQ323" s="1"/>
    </row>
    <row r="324" spans="66:69" ht="15.75" customHeight="1" x14ac:dyDescent="0.25">
      <c r="BN324" s="6"/>
      <c r="BO324" s="7"/>
      <c r="BP324" s="1"/>
      <c r="BQ324" s="1"/>
    </row>
    <row r="325" spans="66:69" ht="15.75" customHeight="1" x14ac:dyDescent="0.25">
      <c r="BN325" s="6"/>
      <c r="BO325" s="7"/>
      <c r="BP325" s="1"/>
      <c r="BQ325" s="1"/>
    </row>
    <row r="326" spans="66:69" ht="15.75" customHeight="1" x14ac:dyDescent="0.25">
      <c r="BN326" s="6"/>
      <c r="BO326" s="7"/>
      <c r="BP326" s="1"/>
      <c r="BQ326" s="1"/>
    </row>
    <row r="327" spans="66:69" ht="15.75" customHeight="1" x14ac:dyDescent="0.25">
      <c r="BN327" s="6"/>
      <c r="BO327" s="7"/>
      <c r="BP327" s="1"/>
      <c r="BQ327" s="1"/>
    </row>
    <row r="328" spans="66:69" ht="15.75" customHeight="1" x14ac:dyDescent="0.25">
      <c r="BN328" s="6"/>
      <c r="BO328" s="7"/>
      <c r="BP328" s="1"/>
      <c r="BQ328" s="1"/>
    </row>
    <row r="329" spans="66:69" ht="15.75" customHeight="1" x14ac:dyDescent="0.25">
      <c r="BN329" s="6"/>
      <c r="BO329" s="7"/>
      <c r="BP329" s="1"/>
      <c r="BQ329" s="1"/>
    </row>
    <row r="330" spans="66:69" ht="15.75" customHeight="1" x14ac:dyDescent="0.25">
      <c r="BN330" s="6"/>
      <c r="BO330" s="7"/>
      <c r="BP330" s="1"/>
      <c r="BQ330" s="1"/>
    </row>
    <row r="331" spans="66:69" ht="15.75" customHeight="1" x14ac:dyDescent="0.25">
      <c r="BN331" s="6"/>
      <c r="BO331" s="7"/>
      <c r="BP331" s="1"/>
      <c r="BQ331" s="1"/>
    </row>
    <row r="332" spans="66:69" ht="15.75" customHeight="1" x14ac:dyDescent="0.25">
      <c r="BN332" s="6"/>
      <c r="BO332" s="7"/>
      <c r="BP332" s="1"/>
      <c r="BQ332" s="1"/>
    </row>
    <row r="333" spans="66:69" ht="15.75" customHeight="1" x14ac:dyDescent="0.25">
      <c r="BN333" s="6"/>
      <c r="BO333" s="7"/>
      <c r="BP333" s="1"/>
      <c r="BQ333" s="1"/>
    </row>
    <row r="334" spans="66:69" ht="15.75" customHeight="1" x14ac:dyDescent="0.25">
      <c r="BN334" s="6"/>
      <c r="BO334" s="7"/>
      <c r="BP334" s="1"/>
      <c r="BQ334" s="1"/>
    </row>
    <row r="335" spans="66:69" ht="15.75" customHeight="1" x14ac:dyDescent="0.25">
      <c r="BN335" s="6"/>
      <c r="BO335" s="7"/>
      <c r="BP335" s="1"/>
      <c r="BQ335" s="1"/>
    </row>
    <row r="336" spans="66:69" ht="15.75" customHeight="1" x14ac:dyDescent="0.25">
      <c r="BN336" s="6"/>
      <c r="BO336" s="7"/>
      <c r="BP336" s="1"/>
      <c r="BQ336" s="1"/>
    </row>
    <row r="337" spans="66:69" ht="15.75" customHeight="1" x14ac:dyDescent="0.25">
      <c r="BN337" s="6"/>
      <c r="BO337" s="7"/>
      <c r="BP337" s="1"/>
      <c r="BQ337" s="1"/>
    </row>
    <row r="338" spans="66:69" ht="15.75" customHeight="1" x14ac:dyDescent="0.25">
      <c r="BN338" s="6"/>
      <c r="BO338" s="7"/>
      <c r="BP338" s="1"/>
      <c r="BQ338" s="1"/>
    </row>
    <row r="339" spans="66:69" ht="15.75" customHeight="1" x14ac:dyDescent="0.25">
      <c r="BN339" s="6"/>
      <c r="BO339" s="7"/>
      <c r="BP339" s="1"/>
      <c r="BQ339" s="1"/>
    </row>
    <row r="340" spans="66:69" ht="15.75" customHeight="1" x14ac:dyDescent="0.25">
      <c r="BN340" s="6"/>
      <c r="BO340" s="7"/>
      <c r="BP340" s="1"/>
      <c r="BQ340" s="1"/>
    </row>
    <row r="341" spans="66:69" ht="15.75" customHeight="1" x14ac:dyDescent="0.25">
      <c r="BN341" s="6"/>
      <c r="BO341" s="7"/>
      <c r="BP341" s="1"/>
      <c r="BQ341" s="1"/>
    </row>
    <row r="342" spans="66:69" ht="15.75" customHeight="1" x14ac:dyDescent="0.25">
      <c r="BN342" s="6"/>
      <c r="BO342" s="7"/>
      <c r="BP342" s="1"/>
      <c r="BQ342" s="1"/>
    </row>
    <row r="343" spans="66:69" ht="15.75" customHeight="1" x14ac:dyDescent="0.25">
      <c r="BN343" s="6"/>
      <c r="BO343" s="7"/>
      <c r="BP343" s="1"/>
      <c r="BQ343" s="1"/>
    </row>
    <row r="344" spans="66:69" ht="15.75" customHeight="1" x14ac:dyDescent="0.25">
      <c r="BN344" s="6"/>
      <c r="BO344" s="7"/>
      <c r="BP344" s="1"/>
      <c r="BQ344" s="1"/>
    </row>
    <row r="345" spans="66:69" ht="15.75" customHeight="1" x14ac:dyDescent="0.25">
      <c r="BN345" s="6"/>
      <c r="BO345" s="7"/>
      <c r="BP345" s="1"/>
      <c r="BQ345" s="1"/>
    </row>
    <row r="346" spans="66:69" ht="15.75" customHeight="1" x14ac:dyDescent="0.25">
      <c r="BN346" s="6"/>
      <c r="BO346" s="7"/>
      <c r="BP346" s="1"/>
      <c r="BQ346" s="1"/>
    </row>
    <row r="347" spans="66:69" ht="15.75" customHeight="1" x14ac:dyDescent="0.25">
      <c r="BN347" s="6"/>
      <c r="BO347" s="7"/>
      <c r="BP347" s="1"/>
      <c r="BQ347" s="1"/>
    </row>
    <row r="348" spans="66:69" ht="15.75" customHeight="1" x14ac:dyDescent="0.25">
      <c r="BN348" s="6"/>
      <c r="BO348" s="7"/>
      <c r="BP348" s="1"/>
      <c r="BQ348" s="1"/>
    </row>
    <row r="349" spans="66:69" ht="15.75" customHeight="1" x14ac:dyDescent="0.25">
      <c r="BN349" s="6"/>
      <c r="BO349" s="7"/>
      <c r="BP349" s="1"/>
      <c r="BQ349" s="1"/>
    </row>
    <row r="350" spans="66:69" ht="15.75" customHeight="1" x14ac:dyDescent="0.25">
      <c r="BN350" s="6"/>
      <c r="BO350" s="7"/>
      <c r="BP350" s="1"/>
      <c r="BQ350" s="1"/>
    </row>
    <row r="351" spans="66:69" ht="15.75" customHeight="1" x14ac:dyDescent="0.25">
      <c r="BN351" s="6"/>
      <c r="BO351" s="7"/>
      <c r="BP351" s="1"/>
      <c r="BQ351" s="1"/>
    </row>
    <row r="352" spans="66:69" ht="15.75" customHeight="1" x14ac:dyDescent="0.25">
      <c r="BN352" s="6"/>
      <c r="BO352" s="7"/>
      <c r="BP352" s="1"/>
      <c r="BQ352" s="1"/>
    </row>
    <row r="353" spans="66:69" ht="15.75" customHeight="1" x14ac:dyDescent="0.25">
      <c r="BN353" s="6"/>
      <c r="BO353" s="7"/>
      <c r="BP353" s="1"/>
      <c r="BQ353" s="1"/>
    </row>
    <row r="354" spans="66:69" ht="15.75" customHeight="1" x14ac:dyDescent="0.25">
      <c r="BN354" s="6"/>
      <c r="BO354" s="7"/>
      <c r="BP354" s="1"/>
      <c r="BQ354" s="1"/>
    </row>
    <row r="355" spans="66:69" ht="15.75" customHeight="1" x14ac:dyDescent="0.25">
      <c r="BN355" s="6"/>
      <c r="BO355" s="7"/>
      <c r="BP355" s="1"/>
      <c r="BQ355" s="1"/>
    </row>
    <row r="356" spans="66:69" ht="15.75" customHeight="1" x14ac:dyDescent="0.25">
      <c r="BN356" s="6"/>
      <c r="BO356" s="7"/>
      <c r="BP356" s="1"/>
      <c r="BQ356" s="1"/>
    </row>
    <row r="357" spans="66:69" ht="15.75" customHeight="1" x14ac:dyDescent="0.25">
      <c r="BN357" s="6"/>
      <c r="BO357" s="7"/>
      <c r="BP357" s="1"/>
      <c r="BQ357" s="1"/>
    </row>
    <row r="358" spans="66:69" ht="15.75" customHeight="1" x14ac:dyDescent="0.25">
      <c r="BN358" s="6"/>
      <c r="BO358" s="7"/>
      <c r="BP358" s="1"/>
      <c r="BQ358" s="1"/>
    </row>
    <row r="359" spans="66:69" ht="15.75" customHeight="1" x14ac:dyDescent="0.25">
      <c r="BN359" s="6"/>
      <c r="BO359" s="7"/>
      <c r="BP359" s="1"/>
      <c r="BQ359" s="1"/>
    </row>
    <row r="360" spans="66:69" ht="15.75" customHeight="1" x14ac:dyDescent="0.25">
      <c r="BN360" s="6"/>
      <c r="BO360" s="7"/>
      <c r="BP360" s="1"/>
      <c r="BQ360" s="1"/>
    </row>
    <row r="361" spans="66:69" ht="15.75" customHeight="1" x14ac:dyDescent="0.25">
      <c r="BN361" s="6"/>
      <c r="BO361" s="7"/>
      <c r="BP361" s="1"/>
      <c r="BQ361" s="1"/>
    </row>
    <row r="362" spans="66:69" ht="15.75" customHeight="1" x14ac:dyDescent="0.25">
      <c r="BN362" s="6"/>
      <c r="BO362" s="7"/>
      <c r="BP362" s="1"/>
      <c r="BQ362" s="1"/>
    </row>
    <row r="363" spans="66:69" ht="15.75" customHeight="1" x14ac:dyDescent="0.25">
      <c r="BN363" s="6"/>
      <c r="BO363" s="7"/>
      <c r="BP363" s="1"/>
      <c r="BQ363" s="1"/>
    </row>
    <row r="364" spans="66:69" ht="15.75" customHeight="1" x14ac:dyDescent="0.25">
      <c r="BN364" s="6"/>
      <c r="BO364" s="7"/>
      <c r="BP364" s="1"/>
      <c r="BQ364" s="1"/>
    </row>
    <row r="365" spans="66:69" ht="15.75" customHeight="1" x14ac:dyDescent="0.25">
      <c r="BN365" s="6"/>
      <c r="BO365" s="7"/>
      <c r="BP365" s="1"/>
      <c r="BQ365" s="1"/>
    </row>
    <row r="366" spans="66:69" ht="15.75" customHeight="1" x14ac:dyDescent="0.25">
      <c r="BN366" s="6"/>
      <c r="BO366" s="7"/>
      <c r="BP366" s="1"/>
      <c r="BQ366" s="1"/>
    </row>
    <row r="367" spans="66:69" ht="15.75" customHeight="1" x14ac:dyDescent="0.25">
      <c r="BN367" s="6"/>
      <c r="BO367" s="7"/>
      <c r="BP367" s="1"/>
      <c r="BQ367" s="1"/>
    </row>
    <row r="368" spans="66:69" ht="15.75" customHeight="1" x14ac:dyDescent="0.25">
      <c r="BN368" s="6"/>
      <c r="BO368" s="7"/>
      <c r="BP368" s="1"/>
      <c r="BQ368" s="1"/>
    </row>
    <row r="369" spans="66:69" ht="15.75" customHeight="1" x14ac:dyDescent="0.25">
      <c r="BN369" s="6"/>
      <c r="BO369" s="7"/>
      <c r="BP369" s="1"/>
      <c r="BQ369" s="1"/>
    </row>
    <row r="370" spans="66:69" ht="15.75" customHeight="1" x14ac:dyDescent="0.25">
      <c r="BN370" s="6"/>
      <c r="BO370" s="7"/>
      <c r="BP370" s="1"/>
      <c r="BQ370" s="1"/>
    </row>
    <row r="371" spans="66:69" ht="15.75" customHeight="1" x14ac:dyDescent="0.25">
      <c r="BN371" s="6"/>
      <c r="BO371" s="7"/>
      <c r="BP371" s="1"/>
      <c r="BQ371" s="1"/>
    </row>
    <row r="372" spans="66:69" ht="15.75" customHeight="1" x14ac:dyDescent="0.25">
      <c r="BN372" s="6"/>
      <c r="BO372" s="7"/>
      <c r="BP372" s="1"/>
      <c r="BQ372" s="1"/>
    </row>
    <row r="373" spans="66:69" ht="15.75" customHeight="1" x14ac:dyDescent="0.25">
      <c r="BN373" s="6"/>
      <c r="BO373" s="7"/>
      <c r="BP373" s="1"/>
      <c r="BQ373" s="1"/>
    </row>
    <row r="374" spans="66:69" ht="15.75" customHeight="1" x14ac:dyDescent="0.25">
      <c r="BN374" s="6"/>
      <c r="BO374" s="7"/>
      <c r="BP374" s="1"/>
      <c r="BQ374" s="1"/>
    </row>
    <row r="375" spans="66:69" ht="15.75" customHeight="1" x14ac:dyDescent="0.25">
      <c r="BN375" s="6"/>
      <c r="BO375" s="7"/>
      <c r="BP375" s="1"/>
      <c r="BQ375" s="1"/>
    </row>
    <row r="376" spans="66:69" ht="15.75" customHeight="1" x14ac:dyDescent="0.25">
      <c r="BN376" s="6"/>
      <c r="BO376" s="7"/>
      <c r="BP376" s="1"/>
      <c r="BQ376" s="1"/>
    </row>
    <row r="377" spans="66:69" ht="15.75" customHeight="1" x14ac:dyDescent="0.25">
      <c r="BN377" s="6"/>
      <c r="BO377" s="7"/>
      <c r="BP377" s="1"/>
      <c r="BQ377" s="1"/>
    </row>
    <row r="378" spans="66:69" ht="15.75" customHeight="1" x14ac:dyDescent="0.25">
      <c r="BN378" s="6"/>
      <c r="BO378" s="7"/>
      <c r="BP378" s="1"/>
      <c r="BQ378" s="1"/>
    </row>
    <row r="379" spans="66:69" ht="15.75" customHeight="1" x14ac:dyDescent="0.25">
      <c r="BN379" s="6"/>
      <c r="BO379" s="7"/>
      <c r="BP379" s="1"/>
      <c r="BQ379" s="1"/>
    </row>
    <row r="380" spans="66:69" ht="15.75" customHeight="1" x14ac:dyDescent="0.25">
      <c r="BN380" s="6"/>
      <c r="BO380" s="7"/>
      <c r="BP380" s="1"/>
      <c r="BQ380" s="1"/>
    </row>
    <row r="381" spans="66:69" ht="15.75" customHeight="1" x14ac:dyDescent="0.25">
      <c r="BN381" s="6"/>
      <c r="BO381" s="7"/>
      <c r="BP381" s="1"/>
      <c r="BQ381" s="1"/>
    </row>
    <row r="382" spans="66:69" ht="15.75" customHeight="1" x14ac:dyDescent="0.25">
      <c r="BN382" s="6"/>
      <c r="BO382" s="7"/>
      <c r="BP382" s="1"/>
      <c r="BQ382" s="1"/>
    </row>
    <row r="383" spans="66:69" ht="15.75" customHeight="1" x14ac:dyDescent="0.25">
      <c r="BN383" s="6"/>
      <c r="BO383" s="7"/>
      <c r="BP383" s="1"/>
      <c r="BQ383" s="1"/>
    </row>
    <row r="384" spans="66:69" ht="15.75" customHeight="1" x14ac:dyDescent="0.25">
      <c r="BN384" s="6"/>
      <c r="BO384" s="7"/>
      <c r="BP384" s="1"/>
      <c r="BQ384" s="1"/>
    </row>
    <row r="385" spans="66:69" ht="15.75" customHeight="1" x14ac:dyDescent="0.25">
      <c r="BN385" s="6"/>
      <c r="BO385" s="7"/>
      <c r="BP385" s="1"/>
      <c r="BQ385" s="1"/>
    </row>
    <row r="386" spans="66:69" ht="15.75" customHeight="1" x14ac:dyDescent="0.25">
      <c r="BN386" s="6"/>
      <c r="BO386" s="7"/>
      <c r="BP386" s="1"/>
      <c r="BQ386" s="1"/>
    </row>
    <row r="387" spans="66:69" ht="15.75" customHeight="1" x14ac:dyDescent="0.25">
      <c r="BN387" s="6"/>
      <c r="BO387" s="7"/>
      <c r="BP387" s="1"/>
      <c r="BQ387" s="1"/>
    </row>
    <row r="388" spans="66:69" ht="15.75" customHeight="1" x14ac:dyDescent="0.25">
      <c r="BN388" s="6"/>
      <c r="BO388" s="7"/>
      <c r="BP388" s="1"/>
      <c r="BQ388" s="1"/>
    </row>
    <row r="389" spans="66:69" ht="15.75" customHeight="1" x14ac:dyDescent="0.25">
      <c r="BN389" s="6"/>
      <c r="BO389" s="7"/>
      <c r="BP389" s="1"/>
      <c r="BQ389" s="1"/>
    </row>
    <row r="390" spans="66:69" ht="15.75" customHeight="1" x14ac:dyDescent="0.25">
      <c r="BN390" s="6"/>
      <c r="BO390" s="7"/>
      <c r="BP390" s="1"/>
      <c r="BQ390" s="1"/>
    </row>
    <row r="391" spans="66:69" ht="15.75" customHeight="1" x14ac:dyDescent="0.25">
      <c r="BN391" s="6"/>
      <c r="BO391" s="7"/>
      <c r="BP391" s="1"/>
      <c r="BQ391" s="1"/>
    </row>
    <row r="392" spans="66:69" ht="15.75" customHeight="1" x14ac:dyDescent="0.25">
      <c r="BN392" s="6"/>
      <c r="BO392" s="7"/>
      <c r="BP392" s="1"/>
      <c r="BQ392" s="1"/>
    </row>
    <row r="393" spans="66:69" ht="15.75" customHeight="1" x14ac:dyDescent="0.25">
      <c r="BN393" s="6"/>
      <c r="BO393" s="7"/>
      <c r="BP393" s="1"/>
      <c r="BQ393" s="1"/>
    </row>
    <row r="394" spans="66:69" ht="15.75" customHeight="1" x14ac:dyDescent="0.25">
      <c r="BN394" s="6"/>
      <c r="BO394" s="7"/>
      <c r="BP394" s="1"/>
      <c r="BQ394" s="1"/>
    </row>
    <row r="395" spans="66:69" ht="15.75" customHeight="1" x14ac:dyDescent="0.25">
      <c r="BN395" s="6"/>
      <c r="BO395" s="7"/>
      <c r="BP395" s="1"/>
      <c r="BQ395" s="1"/>
    </row>
    <row r="396" spans="66:69" ht="15.75" customHeight="1" x14ac:dyDescent="0.25">
      <c r="BN396" s="6"/>
      <c r="BO396" s="7"/>
      <c r="BP396" s="1"/>
      <c r="BQ396" s="1"/>
    </row>
    <row r="397" spans="66:69" ht="15.75" customHeight="1" x14ac:dyDescent="0.25">
      <c r="BN397" s="6"/>
      <c r="BO397" s="7"/>
      <c r="BP397" s="1"/>
      <c r="BQ397" s="1"/>
    </row>
    <row r="398" spans="66:69" ht="15.75" customHeight="1" x14ac:dyDescent="0.25">
      <c r="BN398" s="6"/>
      <c r="BO398" s="7"/>
      <c r="BP398" s="1"/>
      <c r="BQ398" s="1"/>
    </row>
    <row r="399" spans="66:69" ht="15.75" customHeight="1" x14ac:dyDescent="0.25">
      <c r="BN399" s="6"/>
      <c r="BO399" s="7"/>
      <c r="BP399" s="1"/>
      <c r="BQ399" s="1"/>
    </row>
    <row r="400" spans="66:69" ht="15.75" customHeight="1" x14ac:dyDescent="0.25">
      <c r="BN400" s="6"/>
      <c r="BO400" s="7"/>
      <c r="BP400" s="1"/>
      <c r="BQ400" s="1"/>
    </row>
    <row r="401" spans="66:69" ht="15.75" customHeight="1" x14ac:dyDescent="0.25">
      <c r="BN401" s="6"/>
      <c r="BO401" s="7"/>
      <c r="BP401" s="1"/>
      <c r="BQ401" s="1"/>
    </row>
    <row r="402" spans="66:69" ht="15.75" customHeight="1" x14ac:dyDescent="0.25">
      <c r="BN402" s="6"/>
      <c r="BO402" s="7"/>
      <c r="BP402" s="1"/>
      <c r="BQ402" s="1"/>
    </row>
    <row r="403" spans="66:69" ht="15.75" customHeight="1" x14ac:dyDescent="0.25">
      <c r="BN403" s="6"/>
      <c r="BO403" s="7"/>
      <c r="BP403" s="1"/>
      <c r="BQ403" s="1"/>
    </row>
    <row r="404" spans="66:69" ht="15.75" customHeight="1" x14ac:dyDescent="0.25">
      <c r="BN404" s="6"/>
      <c r="BO404" s="7"/>
      <c r="BP404" s="1"/>
      <c r="BQ404" s="1"/>
    </row>
    <row r="405" spans="66:69" ht="15.75" customHeight="1" x14ac:dyDescent="0.25">
      <c r="BN405" s="6"/>
      <c r="BO405" s="7"/>
      <c r="BP405" s="1"/>
      <c r="BQ405" s="1"/>
    </row>
    <row r="406" spans="66:69" ht="15.75" customHeight="1" x14ac:dyDescent="0.25">
      <c r="BN406" s="6"/>
      <c r="BO406" s="7"/>
      <c r="BP406" s="1"/>
      <c r="BQ406" s="1"/>
    </row>
    <row r="407" spans="66:69" ht="15.75" customHeight="1" x14ac:dyDescent="0.25">
      <c r="BN407" s="6"/>
      <c r="BO407" s="7"/>
      <c r="BP407" s="1"/>
      <c r="BQ407" s="1"/>
    </row>
    <row r="408" spans="66:69" ht="15.75" customHeight="1" x14ac:dyDescent="0.25">
      <c r="BN408" s="6"/>
      <c r="BO408" s="7"/>
      <c r="BP408" s="1"/>
      <c r="BQ408" s="1"/>
    </row>
    <row r="409" spans="66:69" ht="15.75" customHeight="1" x14ac:dyDescent="0.25">
      <c r="BN409" s="6"/>
      <c r="BO409" s="7"/>
      <c r="BP409" s="1"/>
      <c r="BQ409" s="1"/>
    </row>
    <row r="410" spans="66:69" ht="15.75" customHeight="1" x14ac:dyDescent="0.25">
      <c r="BN410" s="6"/>
      <c r="BO410" s="7"/>
      <c r="BP410" s="1"/>
      <c r="BQ410" s="1"/>
    </row>
    <row r="411" spans="66:69" ht="15.75" customHeight="1" x14ac:dyDescent="0.25">
      <c r="BN411" s="6"/>
      <c r="BO411" s="7"/>
      <c r="BP411" s="1"/>
      <c r="BQ411" s="1"/>
    </row>
    <row r="412" spans="66:69" ht="15.75" customHeight="1" x14ac:dyDescent="0.25">
      <c r="BN412" s="6"/>
      <c r="BO412" s="7"/>
      <c r="BP412" s="1"/>
      <c r="BQ412" s="1"/>
    </row>
    <row r="413" spans="66:69" ht="15.75" customHeight="1" x14ac:dyDescent="0.25">
      <c r="BN413" s="6"/>
      <c r="BO413" s="7"/>
      <c r="BP413" s="1"/>
      <c r="BQ413" s="1"/>
    </row>
    <row r="414" spans="66:69" ht="15.75" customHeight="1" x14ac:dyDescent="0.25">
      <c r="BN414" s="6"/>
      <c r="BO414" s="7"/>
      <c r="BP414" s="1"/>
      <c r="BQ414" s="1"/>
    </row>
    <row r="415" spans="66:69" ht="15.75" customHeight="1" x14ac:dyDescent="0.25">
      <c r="BN415" s="6"/>
      <c r="BO415" s="7"/>
      <c r="BP415" s="1"/>
      <c r="BQ415" s="1"/>
    </row>
    <row r="416" spans="66:69" ht="15.75" customHeight="1" x14ac:dyDescent="0.25">
      <c r="BN416" s="6"/>
      <c r="BO416" s="7"/>
      <c r="BP416" s="1"/>
      <c r="BQ416" s="1"/>
    </row>
    <row r="417" spans="66:69" ht="15.75" customHeight="1" x14ac:dyDescent="0.25">
      <c r="BN417" s="6"/>
      <c r="BO417" s="7"/>
      <c r="BP417" s="1"/>
      <c r="BQ417" s="1"/>
    </row>
    <row r="418" spans="66:69" ht="15.75" customHeight="1" x14ac:dyDescent="0.25">
      <c r="BN418" s="6"/>
      <c r="BO418" s="7"/>
      <c r="BP418" s="1"/>
      <c r="BQ418" s="1"/>
    </row>
    <row r="419" spans="66:69" ht="15.75" customHeight="1" x14ac:dyDescent="0.25">
      <c r="BN419" s="6"/>
      <c r="BO419" s="7"/>
      <c r="BP419" s="1"/>
      <c r="BQ419" s="1"/>
    </row>
    <row r="420" spans="66:69" ht="15.75" customHeight="1" x14ac:dyDescent="0.25">
      <c r="BN420" s="6"/>
      <c r="BO420" s="7"/>
      <c r="BP420" s="1"/>
      <c r="BQ420" s="1"/>
    </row>
    <row r="421" spans="66:69" ht="15.75" customHeight="1" x14ac:dyDescent="0.25">
      <c r="BN421" s="6"/>
      <c r="BO421" s="7"/>
      <c r="BP421" s="1"/>
      <c r="BQ421" s="1"/>
    </row>
    <row r="422" spans="66:69" ht="15.75" customHeight="1" x14ac:dyDescent="0.25">
      <c r="BN422" s="6"/>
      <c r="BO422" s="7"/>
      <c r="BP422" s="1"/>
      <c r="BQ422" s="1"/>
    </row>
    <row r="423" spans="66:69" ht="15.75" customHeight="1" x14ac:dyDescent="0.25">
      <c r="BN423" s="6"/>
      <c r="BO423" s="7"/>
      <c r="BP423" s="1"/>
      <c r="BQ423" s="1"/>
    </row>
    <row r="424" spans="66:69" ht="15.75" customHeight="1" x14ac:dyDescent="0.25">
      <c r="BN424" s="6"/>
      <c r="BO424" s="7"/>
      <c r="BP424" s="1"/>
      <c r="BQ424" s="1"/>
    </row>
    <row r="425" spans="66:69" ht="15.75" customHeight="1" x14ac:dyDescent="0.25">
      <c r="BN425" s="6"/>
      <c r="BO425" s="7"/>
      <c r="BP425" s="1"/>
      <c r="BQ425" s="1"/>
    </row>
    <row r="426" spans="66:69" ht="15.75" customHeight="1" x14ac:dyDescent="0.25">
      <c r="BN426" s="6"/>
      <c r="BO426" s="7"/>
      <c r="BP426" s="1"/>
      <c r="BQ426" s="1"/>
    </row>
    <row r="427" spans="66:69" ht="15.75" customHeight="1" x14ac:dyDescent="0.25">
      <c r="BN427" s="6"/>
      <c r="BO427" s="7"/>
      <c r="BP427" s="1"/>
      <c r="BQ427" s="1"/>
    </row>
    <row r="428" spans="66:69" ht="15.75" customHeight="1" x14ac:dyDescent="0.25">
      <c r="BN428" s="6"/>
      <c r="BO428" s="7"/>
      <c r="BP428" s="1"/>
      <c r="BQ428" s="1"/>
    </row>
    <row r="429" spans="66:69" ht="15.75" customHeight="1" x14ac:dyDescent="0.25">
      <c r="BN429" s="6"/>
      <c r="BO429" s="7"/>
      <c r="BP429" s="1"/>
      <c r="BQ429" s="1"/>
    </row>
    <row r="430" spans="66:69" ht="15.75" customHeight="1" x14ac:dyDescent="0.25">
      <c r="BN430" s="6"/>
      <c r="BO430" s="7"/>
      <c r="BP430" s="1"/>
      <c r="BQ430" s="1"/>
    </row>
    <row r="431" spans="66:69" ht="15.75" customHeight="1" x14ac:dyDescent="0.25">
      <c r="BN431" s="6"/>
      <c r="BO431" s="7"/>
      <c r="BP431" s="1"/>
      <c r="BQ431" s="1"/>
    </row>
    <row r="432" spans="66:69" ht="15.75" customHeight="1" x14ac:dyDescent="0.25">
      <c r="BN432" s="6"/>
      <c r="BO432" s="7"/>
      <c r="BP432" s="1"/>
      <c r="BQ432" s="1"/>
    </row>
    <row r="433" spans="66:69" ht="15.75" customHeight="1" x14ac:dyDescent="0.25">
      <c r="BN433" s="6"/>
      <c r="BO433" s="7"/>
      <c r="BP433" s="1"/>
      <c r="BQ433" s="1"/>
    </row>
    <row r="434" spans="66:69" ht="15.75" customHeight="1" x14ac:dyDescent="0.25">
      <c r="BN434" s="6"/>
      <c r="BO434" s="7"/>
      <c r="BP434" s="1"/>
      <c r="BQ434" s="1"/>
    </row>
    <row r="435" spans="66:69" ht="15.75" customHeight="1" x14ac:dyDescent="0.25">
      <c r="BN435" s="6"/>
      <c r="BO435" s="7"/>
      <c r="BP435" s="1"/>
      <c r="BQ435" s="1"/>
    </row>
    <row r="436" spans="66:69" ht="15.75" customHeight="1" x14ac:dyDescent="0.25">
      <c r="BN436" s="6"/>
      <c r="BO436" s="7"/>
      <c r="BP436" s="1"/>
      <c r="BQ436" s="1"/>
    </row>
    <row r="437" spans="66:69" ht="15.75" customHeight="1" x14ac:dyDescent="0.25">
      <c r="BN437" s="6"/>
      <c r="BO437" s="7"/>
      <c r="BP437" s="1"/>
      <c r="BQ437" s="1"/>
    </row>
    <row r="438" spans="66:69" ht="15.75" customHeight="1" x14ac:dyDescent="0.25">
      <c r="BN438" s="6"/>
      <c r="BO438" s="7"/>
      <c r="BP438" s="1"/>
      <c r="BQ438" s="1"/>
    </row>
    <row r="439" spans="66:69" ht="15.75" customHeight="1" x14ac:dyDescent="0.25">
      <c r="BN439" s="6"/>
      <c r="BO439" s="7"/>
      <c r="BP439" s="1"/>
      <c r="BQ439" s="1"/>
    </row>
    <row r="440" spans="66:69" ht="15.75" customHeight="1" x14ac:dyDescent="0.25">
      <c r="BN440" s="6"/>
      <c r="BO440" s="7"/>
      <c r="BP440" s="1"/>
      <c r="BQ440" s="1"/>
    </row>
    <row r="441" spans="66:69" ht="15.75" customHeight="1" x14ac:dyDescent="0.25">
      <c r="BN441" s="6"/>
      <c r="BO441" s="7"/>
      <c r="BP441" s="1"/>
      <c r="BQ441" s="1"/>
    </row>
    <row r="442" spans="66:69" ht="15.75" customHeight="1" x14ac:dyDescent="0.25">
      <c r="BN442" s="6"/>
      <c r="BO442" s="7"/>
      <c r="BP442" s="1"/>
      <c r="BQ442" s="1"/>
    </row>
    <row r="443" spans="66:69" ht="15.75" customHeight="1" x14ac:dyDescent="0.25">
      <c r="BN443" s="6"/>
      <c r="BO443" s="7"/>
      <c r="BP443" s="1"/>
      <c r="BQ443" s="1"/>
    </row>
    <row r="444" spans="66:69" ht="15.75" customHeight="1" x14ac:dyDescent="0.25">
      <c r="BN444" s="6"/>
      <c r="BO444" s="7"/>
      <c r="BP444" s="1"/>
      <c r="BQ444" s="1"/>
    </row>
    <row r="445" spans="66:69" ht="15.75" customHeight="1" x14ac:dyDescent="0.25">
      <c r="BN445" s="6"/>
      <c r="BO445" s="7"/>
      <c r="BP445" s="1"/>
      <c r="BQ445" s="1"/>
    </row>
    <row r="446" spans="66:69" ht="15.75" customHeight="1" x14ac:dyDescent="0.25">
      <c r="BN446" s="6"/>
      <c r="BO446" s="7"/>
      <c r="BP446" s="1"/>
      <c r="BQ446" s="1"/>
    </row>
    <row r="447" spans="66:69" ht="15.75" customHeight="1" x14ac:dyDescent="0.25">
      <c r="BN447" s="6"/>
      <c r="BO447" s="7"/>
      <c r="BP447" s="1"/>
      <c r="BQ447" s="1"/>
    </row>
    <row r="448" spans="66:69" ht="15.75" customHeight="1" x14ac:dyDescent="0.25">
      <c r="BN448" s="6"/>
      <c r="BO448" s="7"/>
      <c r="BP448" s="1"/>
      <c r="BQ448" s="1"/>
    </row>
    <row r="449" spans="66:69" ht="15.75" customHeight="1" x14ac:dyDescent="0.25">
      <c r="BN449" s="6"/>
      <c r="BO449" s="7"/>
      <c r="BP449" s="1"/>
      <c r="BQ449" s="1"/>
    </row>
    <row r="450" spans="66:69" ht="15.75" customHeight="1" x14ac:dyDescent="0.25">
      <c r="BN450" s="6"/>
      <c r="BO450" s="7"/>
      <c r="BP450" s="1"/>
      <c r="BQ450" s="1"/>
    </row>
    <row r="451" spans="66:69" ht="15.75" customHeight="1" x14ac:dyDescent="0.25">
      <c r="BN451" s="6"/>
      <c r="BO451" s="7"/>
      <c r="BP451" s="1"/>
      <c r="BQ451" s="1"/>
    </row>
    <row r="452" spans="66:69" ht="15.75" customHeight="1" x14ac:dyDescent="0.25">
      <c r="BN452" s="6"/>
      <c r="BO452" s="7"/>
      <c r="BP452" s="1"/>
      <c r="BQ452" s="1"/>
    </row>
    <row r="453" spans="66:69" ht="15.75" customHeight="1" x14ac:dyDescent="0.25">
      <c r="BN453" s="6"/>
      <c r="BO453" s="7"/>
      <c r="BP453" s="1"/>
      <c r="BQ453" s="1"/>
    </row>
    <row r="454" spans="66:69" ht="15.75" customHeight="1" x14ac:dyDescent="0.25">
      <c r="BN454" s="6"/>
      <c r="BO454" s="7"/>
      <c r="BP454" s="1"/>
      <c r="BQ454" s="1"/>
    </row>
    <row r="455" spans="66:69" ht="15.75" customHeight="1" x14ac:dyDescent="0.25">
      <c r="BN455" s="6"/>
      <c r="BO455" s="7"/>
      <c r="BP455" s="1"/>
      <c r="BQ455" s="1"/>
    </row>
    <row r="456" spans="66:69" ht="15.75" customHeight="1" x14ac:dyDescent="0.25">
      <c r="BN456" s="6"/>
      <c r="BO456" s="7"/>
      <c r="BP456" s="1"/>
      <c r="BQ456" s="1"/>
    </row>
    <row r="457" spans="66:69" ht="15.75" customHeight="1" x14ac:dyDescent="0.25">
      <c r="BN457" s="6"/>
      <c r="BO457" s="7"/>
      <c r="BP457" s="1"/>
      <c r="BQ457" s="1"/>
    </row>
    <row r="458" spans="66:69" ht="15.75" customHeight="1" x14ac:dyDescent="0.25">
      <c r="BN458" s="6"/>
      <c r="BO458" s="7"/>
      <c r="BP458" s="1"/>
      <c r="BQ458" s="1"/>
    </row>
    <row r="459" spans="66:69" ht="15.75" customHeight="1" x14ac:dyDescent="0.25">
      <c r="BN459" s="6"/>
      <c r="BO459" s="7"/>
      <c r="BP459" s="1"/>
      <c r="BQ459" s="1"/>
    </row>
    <row r="460" spans="66:69" ht="15.75" customHeight="1" x14ac:dyDescent="0.25">
      <c r="BN460" s="6"/>
      <c r="BO460" s="7"/>
      <c r="BP460" s="1"/>
      <c r="BQ460" s="1"/>
    </row>
    <row r="461" spans="66:69" ht="15.75" customHeight="1" x14ac:dyDescent="0.25">
      <c r="BN461" s="6"/>
      <c r="BO461" s="7"/>
      <c r="BP461" s="1"/>
      <c r="BQ461" s="1"/>
    </row>
    <row r="462" spans="66:69" ht="15.75" customHeight="1" x14ac:dyDescent="0.25">
      <c r="BN462" s="6"/>
      <c r="BO462" s="7"/>
      <c r="BP462" s="1"/>
      <c r="BQ462" s="1"/>
    </row>
    <row r="463" spans="66:69" ht="15.75" customHeight="1" x14ac:dyDescent="0.25">
      <c r="BN463" s="6"/>
      <c r="BO463" s="7"/>
      <c r="BP463" s="1"/>
      <c r="BQ463" s="1"/>
    </row>
    <row r="464" spans="66:69" ht="15.75" customHeight="1" x14ac:dyDescent="0.25">
      <c r="BN464" s="6"/>
      <c r="BO464" s="7"/>
      <c r="BP464" s="1"/>
      <c r="BQ464" s="1"/>
    </row>
    <row r="465" spans="66:69" ht="15.75" customHeight="1" x14ac:dyDescent="0.25">
      <c r="BN465" s="6"/>
      <c r="BO465" s="7"/>
      <c r="BP465" s="1"/>
      <c r="BQ465" s="1"/>
    </row>
    <row r="466" spans="66:69" ht="15.75" customHeight="1" x14ac:dyDescent="0.25">
      <c r="BN466" s="6"/>
      <c r="BO466" s="7"/>
      <c r="BP466" s="1"/>
      <c r="BQ466" s="1"/>
    </row>
    <row r="467" spans="66:69" ht="15.75" customHeight="1" x14ac:dyDescent="0.25">
      <c r="BN467" s="6"/>
      <c r="BO467" s="7"/>
      <c r="BP467" s="1"/>
      <c r="BQ467" s="1"/>
    </row>
    <row r="468" spans="66:69" ht="15.75" customHeight="1" x14ac:dyDescent="0.25">
      <c r="BN468" s="6"/>
      <c r="BO468" s="7"/>
      <c r="BP468" s="1"/>
      <c r="BQ468" s="1"/>
    </row>
    <row r="469" spans="66:69" ht="15.75" customHeight="1" x14ac:dyDescent="0.25">
      <c r="BN469" s="6"/>
      <c r="BO469" s="7"/>
      <c r="BP469" s="1"/>
      <c r="BQ469" s="1"/>
    </row>
    <row r="470" spans="66:69" ht="15.75" customHeight="1" x14ac:dyDescent="0.25">
      <c r="BN470" s="6"/>
      <c r="BO470" s="7"/>
      <c r="BP470" s="1"/>
      <c r="BQ470" s="1"/>
    </row>
    <row r="471" spans="66:69" ht="15.75" customHeight="1" x14ac:dyDescent="0.25">
      <c r="BN471" s="6"/>
      <c r="BO471" s="7"/>
      <c r="BP471" s="1"/>
      <c r="BQ471" s="1"/>
    </row>
    <row r="472" spans="66:69" ht="15.75" customHeight="1" x14ac:dyDescent="0.25">
      <c r="BN472" s="6"/>
      <c r="BO472" s="7"/>
      <c r="BP472" s="1"/>
      <c r="BQ472" s="1"/>
    </row>
    <row r="473" spans="66:69" ht="15.75" customHeight="1" x14ac:dyDescent="0.25">
      <c r="BN473" s="6"/>
      <c r="BO473" s="7"/>
      <c r="BP473" s="1"/>
      <c r="BQ473" s="1"/>
    </row>
    <row r="474" spans="66:69" ht="15.75" customHeight="1" x14ac:dyDescent="0.25">
      <c r="BN474" s="6"/>
      <c r="BO474" s="7"/>
      <c r="BP474" s="1"/>
      <c r="BQ474" s="1"/>
    </row>
    <row r="475" spans="66:69" ht="15.75" customHeight="1" x14ac:dyDescent="0.25">
      <c r="BN475" s="6"/>
      <c r="BO475" s="7"/>
      <c r="BP475" s="1"/>
      <c r="BQ475" s="1"/>
    </row>
    <row r="476" spans="66:69" ht="15.75" customHeight="1" x14ac:dyDescent="0.25">
      <c r="BN476" s="6"/>
      <c r="BO476" s="7"/>
      <c r="BP476" s="1"/>
      <c r="BQ476" s="1"/>
    </row>
    <row r="477" spans="66:69" ht="15.75" customHeight="1" x14ac:dyDescent="0.25">
      <c r="BN477" s="6"/>
      <c r="BO477" s="7"/>
      <c r="BP477" s="1"/>
      <c r="BQ477" s="1"/>
    </row>
    <row r="478" spans="66:69" ht="15.75" customHeight="1" x14ac:dyDescent="0.25">
      <c r="BN478" s="6"/>
      <c r="BO478" s="7"/>
      <c r="BP478" s="1"/>
      <c r="BQ478" s="1"/>
    </row>
    <row r="479" spans="66:69" ht="15.75" customHeight="1" x14ac:dyDescent="0.25">
      <c r="BN479" s="6"/>
      <c r="BO479" s="7"/>
      <c r="BP479" s="1"/>
      <c r="BQ479" s="1"/>
    </row>
    <row r="480" spans="66:69" ht="15.75" customHeight="1" x14ac:dyDescent="0.25">
      <c r="BN480" s="6"/>
      <c r="BO480" s="7"/>
      <c r="BP480" s="1"/>
      <c r="BQ480" s="1"/>
    </row>
    <row r="481" spans="66:69" ht="15.75" customHeight="1" x14ac:dyDescent="0.25">
      <c r="BN481" s="6"/>
      <c r="BO481" s="7"/>
      <c r="BP481" s="1"/>
      <c r="BQ481" s="1"/>
    </row>
    <row r="482" spans="66:69" ht="15.75" customHeight="1" x14ac:dyDescent="0.25">
      <c r="BN482" s="6"/>
      <c r="BO482" s="7"/>
      <c r="BP482" s="1"/>
      <c r="BQ482" s="1"/>
    </row>
    <row r="483" spans="66:69" ht="15.75" customHeight="1" x14ac:dyDescent="0.25">
      <c r="BN483" s="6"/>
      <c r="BO483" s="7"/>
      <c r="BP483" s="1"/>
      <c r="BQ483" s="1"/>
    </row>
    <row r="484" spans="66:69" ht="15.75" customHeight="1" x14ac:dyDescent="0.25">
      <c r="BN484" s="6"/>
      <c r="BO484" s="7"/>
      <c r="BP484" s="1"/>
      <c r="BQ484" s="1"/>
    </row>
    <row r="485" spans="66:69" ht="15.75" customHeight="1" x14ac:dyDescent="0.25">
      <c r="BN485" s="6"/>
      <c r="BO485" s="7"/>
      <c r="BP485" s="1"/>
      <c r="BQ485" s="1"/>
    </row>
    <row r="486" spans="66:69" ht="15.75" customHeight="1" x14ac:dyDescent="0.25">
      <c r="BN486" s="6"/>
      <c r="BO486" s="7"/>
      <c r="BP486" s="1"/>
      <c r="BQ486" s="1"/>
    </row>
    <row r="487" spans="66:69" ht="15.75" customHeight="1" x14ac:dyDescent="0.25">
      <c r="BN487" s="6"/>
      <c r="BO487" s="7"/>
      <c r="BP487" s="1"/>
      <c r="BQ487" s="1"/>
    </row>
    <row r="488" spans="66:69" ht="15.75" customHeight="1" x14ac:dyDescent="0.25">
      <c r="BN488" s="6"/>
      <c r="BO488" s="7"/>
      <c r="BP488" s="1"/>
      <c r="BQ488" s="1"/>
    </row>
    <row r="489" spans="66:69" ht="15.75" customHeight="1" x14ac:dyDescent="0.25">
      <c r="BN489" s="6"/>
      <c r="BO489" s="7"/>
      <c r="BP489" s="1"/>
      <c r="BQ489" s="1"/>
    </row>
    <row r="490" spans="66:69" ht="15.75" customHeight="1" x14ac:dyDescent="0.25">
      <c r="BN490" s="6"/>
      <c r="BO490" s="7"/>
      <c r="BP490" s="1"/>
      <c r="BQ490" s="1"/>
    </row>
    <row r="491" spans="66:69" ht="15.75" customHeight="1" x14ac:dyDescent="0.25">
      <c r="BN491" s="6"/>
      <c r="BO491" s="7"/>
      <c r="BP491" s="1"/>
      <c r="BQ491" s="1"/>
    </row>
    <row r="492" spans="66:69" ht="15.75" customHeight="1" x14ac:dyDescent="0.25">
      <c r="BN492" s="6"/>
      <c r="BO492" s="7"/>
      <c r="BP492" s="1"/>
      <c r="BQ492" s="1"/>
    </row>
    <row r="493" spans="66:69" ht="15.75" customHeight="1" x14ac:dyDescent="0.25">
      <c r="BN493" s="6"/>
      <c r="BO493" s="7"/>
      <c r="BP493" s="1"/>
      <c r="BQ493" s="1"/>
    </row>
    <row r="494" spans="66:69" ht="15.75" customHeight="1" x14ac:dyDescent="0.25">
      <c r="BN494" s="6"/>
      <c r="BO494" s="7"/>
      <c r="BP494" s="1"/>
      <c r="BQ494" s="1"/>
    </row>
    <row r="495" spans="66:69" ht="15.75" customHeight="1" x14ac:dyDescent="0.25">
      <c r="BN495" s="6"/>
      <c r="BO495" s="7"/>
      <c r="BP495" s="1"/>
      <c r="BQ495" s="1"/>
    </row>
    <row r="496" spans="66:69" ht="15.75" customHeight="1" x14ac:dyDescent="0.25">
      <c r="BN496" s="6"/>
      <c r="BO496" s="7"/>
      <c r="BP496" s="1"/>
      <c r="BQ496" s="1"/>
    </row>
    <row r="497" spans="66:69" ht="15.75" customHeight="1" x14ac:dyDescent="0.25">
      <c r="BN497" s="6"/>
      <c r="BO497" s="7"/>
      <c r="BP497" s="1"/>
      <c r="BQ497" s="1"/>
    </row>
    <row r="498" spans="66:69" ht="15.75" customHeight="1" x14ac:dyDescent="0.25">
      <c r="BN498" s="6"/>
      <c r="BO498" s="7"/>
      <c r="BP498" s="1"/>
      <c r="BQ498" s="1"/>
    </row>
    <row r="499" spans="66:69" ht="15.75" customHeight="1" x14ac:dyDescent="0.25">
      <c r="BN499" s="6"/>
      <c r="BO499" s="7"/>
      <c r="BP499" s="1"/>
      <c r="BQ499" s="1"/>
    </row>
    <row r="500" spans="66:69" ht="15.75" customHeight="1" x14ac:dyDescent="0.25">
      <c r="BN500" s="6"/>
      <c r="BO500" s="7"/>
      <c r="BP500" s="1"/>
      <c r="BQ500" s="1"/>
    </row>
    <row r="501" spans="66:69" ht="15.75" customHeight="1" x14ac:dyDescent="0.25">
      <c r="BN501" s="6"/>
      <c r="BO501" s="7"/>
      <c r="BP501" s="1"/>
      <c r="BQ501" s="1"/>
    </row>
    <row r="502" spans="66:69" ht="15.75" customHeight="1" x14ac:dyDescent="0.25">
      <c r="BN502" s="6"/>
      <c r="BO502" s="7"/>
      <c r="BP502" s="1"/>
      <c r="BQ502" s="1"/>
    </row>
    <row r="503" spans="66:69" ht="15.75" customHeight="1" x14ac:dyDescent="0.25">
      <c r="BN503" s="6"/>
      <c r="BO503" s="7"/>
      <c r="BP503" s="1"/>
      <c r="BQ503" s="1"/>
    </row>
    <row r="504" spans="66:69" ht="15.75" customHeight="1" x14ac:dyDescent="0.25">
      <c r="BN504" s="6"/>
      <c r="BO504" s="7"/>
      <c r="BP504" s="1"/>
      <c r="BQ504" s="1"/>
    </row>
    <row r="505" spans="66:69" ht="15.75" customHeight="1" x14ac:dyDescent="0.25">
      <c r="BN505" s="6"/>
      <c r="BO505" s="7"/>
      <c r="BP505" s="1"/>
      <c r="BQ505" s="1"/>
    </row>
    <row r="506" spans="66:69" ht="15.75" customHeight="1" x14ac:dyDescent="0.25">
      <c r="BN506" s="6"/>
      <c r="BO506" s="7"/>
      <c r="BP506" s="1"/>
      <c r="BQ506" s="1"/>
    </row>
    <row r="507" spans="66:69" ht="15.75" customHeight="1" x14ac:dyDescent="0.25">
      <c r="BN507" s="6"/>
      <c r="BO507" s="7"/>
      <c r="BP507" s="1"/>
      <c r="BQ507" s="1"/>
    </row>
    <row r="508" spans="66:69" ht="15.75" customHeight="1" x14ac:dyDescent="0.25">
      <c r="BN508" s="6"/>
      <c r="BO508" s="7"/>
      <c r="BP508" s="1"/>
      <c r="BQ508" s="1"/>
    </row>
    <row r="509" spans="66:69" ht="15.75" customHeight="1" x14ac:dyDescent="0.25">
      <c r="BN509" s="6"/>
      <c r="BO509" s="7"/>
      <c r="BP509" s="1"/>
      <c r="BQ509" s="1"/>
    </row>
    <row r="510" spans="66:69" ht="15.75" customHeight="1" x14ac:dyDescent="0.25">
      <c r="BN510" s="6"/>
      <c r="BO510" s="7"/>
      <c r="BP510" s="1"/>
      <c r="BQ510" s="1"/>
    </row>
    <row r="511" spans="66:69" ht="15.75" customHeight="1" x14ac:dyDescent="0.25">
      <c r="BN511" s="6"/>
      <c r="BO511" s="7"/>
      <c r="BP511" s="1"/>
      <c r="BQ511" s="1"/>
    </row>
    <row r="512" spans="66:69" ht="15.75" customHeight="1" x14ac:dyDescent="0.25">
      <c r="BN512" s="6"/>
      <c r="BO512" s="7"/>
      <c r="BP512" s="1"/>
      <c r="BQ512" s="1"/>
    </row>
    <row r="513" spans="66:69" ht="15.75" customHeight="1" x14ac:dyDescent="0.25">
      <c r="BN513" s="6"/>
      <c r="BO513" s="7"/>
      <c r="BP513" s="1"/>
      <c r="BQ513" s="1"/>
    </row>
    <row r="514" spans="66:69" ht="15.75" customHeight="1" x14ac:dyDescent="0.25">
      <c r="BN514" s="6"/>
      <c r="BO514" s="7"/>
      <c r="BP514" s="1"/>
      <c r="BQ514" s="1"/>
    </row>
    <row r="515" spans="66:69" ht="15.75" customHeight="1" x14ac:dyDescent="0.25">
      <c r="BN515" s="6"/>
      <c r="BO515" s="7"/>
      <c r="BP515" s="1"/>
      <c r="BQ515" s="1"/>
    </row>
    <row r="516" spans="66:69" ht="15.75" customHeight="1" x14ac:dyDescent="0.25">
      <c r="BN516" s="6"/>
      <c r="BO516" s="7"/>
      <c r="BP516" s="1"/>
      <c r="BQ516" s="1"/>
    </row>
    <row r="517" spans="66:69" ht="15.75" customHeight="1" x14ac:dyDescent="0.25">
      <c r="BN517" s="6"/>
      <c r="BO517" s="7"/>
      <c r="BP517" s="1"/>
      <c r="BQ517" s="1"/>
    </row>
    <row r="518" spans="66:69" ht="15.75" customHeight="1" x14ac:dyDescent="0.25">
      <c r="BN518" s="6"/>
      <c r="BO518" s="7"/>
      <c r="BP518" s="1"/>
      <c r="BQ518" s="1"/>
    </row>
    <row r="519" spans="66:69" ht="15.75" customHeight="1" x14ac:dyDescent="0.25">
      <c r="BN519" s="6"/>
      <c r="BO519" s="7"/>
      <c r="BP519" s="1"/>
      <c r="BQ519" s="1"/>
    </row>
    <row r="520" spans="66:69" ht="15.75" customHeight="1" x14ac:dyDescent="0.25">
      <c r="BN520" s="6"/>
      <c r="BO520" s="7"/>
      <c r="BP520" s="1"/>
      <c r="BQ520" s="1"/>
    </row>
    <row r="521" spans="66:69" ht="15.75" customHeight="1" x14ac:dyDescent="0.25">
      <c r="BN521" s="6"/>
      <c r="BO521" s="7"/>
      <c r="BP521" s="1"/>
      <c r="BQ521" s="1"/>
    </row>
    <row r="522" spans="66:69" ht="15.75" customHeight="1" x14ac:dyDescent="0.25">
      <c r="BN522" s="6"/>
      <c r="BO522" s="7"/>
      <c r="BP522" s="1"/>
      <c r="BQ522" s="1"/>
    </row>
    <row r="523" spans="66:69" ht="15.75" customHeight="1" x14ac:dyDescent="0.25">
      <c r="BN523" s="6"/>
      <c r="BO523" s="7"/>
      <c r="BP523" s="1"/>
      <c r="BQ523" s="1"/>
    </row>
    <row r="524" spans="66:69" ht="15.75" customHeight="1" x14ac:dyDescent="0.25">
      <c r="BN524" s="6"/>
      <c r="BO524" s="7"/>
      <c r="BP524" s="1"/>
      <c r="BQ524" s="1"/>
    </row>
    <row r="525" spans="66:69" ht="15.75" customHeight="1" x14ac:dyDescent="0.25">
      <c r="BN525" s="6"/>
      <c r="BO525" s="7"/>
      <c r="BP525" s="1"/>
      <c r="BQ525" s="1"/>
    </row>
    <row r="526" spans="66:69" ht="15.75" customHeight="1" x14ac:dyDescent="0.25">
      <c r="BN526" s="6"/>
      <c r="BO526" s="7"/>
      <c r="BP526" s="1"/>
      <c r="BQ526" s="1"/>
    </row>
    <row r="527" spans="66:69" ht="15.75" customHeight="1" x14ac:dyDescent="0.25">
      <c r="BN527" s="6"/>
      <c r="BO527" s="7"/>
      <c r="BP527" s="1"/>
      <c r="BQ527" s="1"/>
    </row>
    <row r="528" spans="66:69" ht="15.75" customHeight="1" x14ac:dyDescent="0.25">
      <c r="BN528" s="6"/>
      <c r="BO528" s="7"/>
      <c r="BP528" s="1"/>
      <c r="BQ528" s="1"/>
    </row>
    <row r="529" spans="66:69" ht="15.75" customHeight="1" x14ac:dyDescent="0.25">
      <c r="BN529" s="6"/>
      <c r="BO529" s="7"/>
      <c r="BP529" s="1"/>
      <c r="BQ529" s="1"/>
    </row>
    <row r="530" spans="66:69" ht="15.75" customHeight="1" x14ac:dyDescent="0.25">
      <c r="BN530" s="6"/>
      <c r="BO530" s="7"/>
      <c r="BP530" s="1"/>
      <c r="BQ530" s="1"/>
    </row>
    <row r="531" spans="66:69" ht="15.75" customHeight="1" x14ac:dyDescent="0.25">
      <c r="BN531" s="6"/>
      <c r="BO531" s="7"/>
      <c r="BP531" s="1"/>
      <c r="BQ531" s="1"/>
    </row>
    <row r="532" spans="66:69" ht="15.75" customHeight="1" x14ac:dyDescent="0.25">
      <c r="BN532" s="6"/>
      <c r="BO532" s="7"/>
      <c r="BP532" s="1"/>
      <c r="BQ532" s="1"/>
    </row>
    <row r="533" spans="66:69" ht="15.75" customHeight="1" x14ac:dyDescent="0.25">
      <c r="BN533" s="6"/>
      <c r="BO533" s="7"/>
      <c r="BP533" s="1"/>
      <c r="BQ533" s="1"/>
    </row>
    <row r="534" spans="66:69" ht="15.75" customHeight="1" x14ac:dyDescent="0.25">
      <c r="BN534" s="6"/>
      <c r="BO534" s="7"/>
      <c r="BP534" s="1"/>
      <c r="BQ534" s="1"/>
    </row>
    <row r="535" spans="66:69" ht="15.75" customHeight="1" x14ac:dyDescent="0.25">
      <c r="BN535" s="6"/>
      <c r="BO535" s="7"/>
      <c r="BP535" s="1"/>
      <c r="BQ535" s="1"/>
    </row>
    <row r="536" spans="66:69" ht="15.75" customHeight="1" x14ac:dyDescent="0.25">
      <c r="BN536" s="6"/>
      <c r="BO536" s="7"/>
      <c r="BP536" s="1"/>
      <c r="BQ536" s="1"/>
    </row>
    <row r="537" spans="66:69" ht="15.75" customHeight="1" x14ac:dyDescent="0.25">
      <c r="BN537" s="6"/>
      <c r="BO537" s="7"/>
      <c r="BP537" s="1"/>
      <c r="BQ537" s="1"/>
    </row>
    <row r="538" spans="66:69" ht="15.75" customHeight="1" x14ac:dyDescent="0.25">
      <c r="BN538" s="6"/>
      <c r="BO538" s="7"/>
      <c r="BP538" s="1"/>
      <c r="BQ538" s="1"/>
    </row>
    <row r="539" spans="66:69" ht="15.75" customHeight="1" x14ac:dyDescent="0.25">
      <c r="BN539" s="6"/>
      <c r="BO539" s="7"/>
      <c r="BP539" s="1"/>
      <c r="BQ539" s="1"/>
    </row>
    <row r="540" spans="66:69" ht="15.75" customHeight="1" x14ac:dyDescent="0.25">
      <c r="BN540" s="6"/>
      <c r="BO540" s="7"/>
      <c r="BP540" s="1"/>
      <c r="BQ540" s="1"/>
    </row>
    <row r="541" spans="66:69" ht="15.75" customHeight="1" x14ac:dyDescent="0.25">
      <c r="BN541" s="6"/>
      <c r="BO541" s="7"/>
      <c r="BP541" s="1"/>
      <c r="BQ541" s="1"/>
    </row>
    <row r="542" spans="66:69" ht="15.75" customHeight="1" x14ac:dyDescent="0.25">
      <c r="BN542" s="6"/>
      <c r="BO542" s="7"/>
      <c r="BP542" s="1"/>
      <c r="BQ542" s="1"/>
    </row>
    <row r="543" spans="66:69" ht="15.75" customHeight="1" x14ac:dyDescent="0.25">
      <c r="BN543" s="6"/>
      <c r="BO543" s="7"/>
      <c r="BP543" s="1"/>
      <c r="BQ543" s="1"/>
    </row>
    <row r="544" spans="66:69" ht="15.75" customHeight="1" x14ac:dyDescent="0.25">
      <c r="BN544" s="6"/>
      <c r="BO544" s="7"/>
      <c r="BP544" s="1"/>
      <c r="BQ544" s="1"/>
    </row>
    <row r="545" spans="66:69" ht="15.75" customHeight="1" x14ac:dyDescent="0.25">
      <c r="BN545" s="6"/>
      <c r="BO545" s="7"/>
      <c r="BP545" s="1"/>
      <c r="BQ545" s="1"/>
    </row>
    <row r="546" spans="66:69" ht="15.75" customHeight="1" x14ac:dyDescent="0.25">
      <c r="BN546" s="6"/>
      <c r="BO546" s="7"/>
      <c r="BP546" s="1"/>
      <c r="BQ546" s="1"/>
    </row>
    <row r="547" spans="66:69" ht="15.75" customHeight="1" x14ac:dyDescent="0.25">
      <c r="BN547" s="6"/>
      <c r="BO547" s="7"/>
      <c r="BP547" s="1"/>
      <c r="BQ547" s="1"/>
    </row>
    <row r="548" spans="66:69" ht="15.75" customHeight="1" x14ac:dyDescent="0.25">
      <c r="BN548" s="6"/>
      <c r="BO548" s="7"/>
      <c r="BP548" s="1"/>
      <c r="BQ548" s="1"/>
    </row>
    <row r="549" spans="66:69" ht="15.75" customHeight="1" x14ac:dyDescent="0.25">
      <c r="BN549" s="6"/>
      <c r="BO549" s="7"/>
      <c r="BP549" s="1"/>
      <c r="BQ549" s="1"/>
    </row>
    <row r="550" spans="66:69" ht="15.75" customHeight="1" x14ac:dyDescent="0.25">
      <c r="BN550" s="6"/>
      <c r="BO550" s="7"/>
      <c r="BP550" s="1"/>
      <c r="BQ550" s="1"/>
    </row>
    <row r="551" spans="66:69" ht="15.75" customHeight="1" x14ac:dyDescent="0.25">
      <c r="BN551" s="6"/>
      <c r="BO551" s="7"/>
      <c r="BP551" s="1"/>
      <c r="BQ551" s="1"/>
    </row>
    <row r="552" spans="66:69" ht="15.75" customHeight="1" x14ac:dyDescent="0.25">
      <c r="BN552" s="6"/>
      <c r="BO552" s="7"/>
      <c r="BP552" s="1"/>
      <c r="BQ552" s="1"/>
    </row>
    <row r="553" spans="66:69" ht="15.75" customHeight="1" x14ac:dyDescent="0.25">
      <c r="BN553" s="6"/>
      <c r="BO553" s="7"/>
      <c r="BP553" s="1"/>
      <c r="BQ553" s="1"/>
    </row>
    <row r="554" spans="66:69" ht="15.75" customHeight="1" x14ac:dyDescent="0.25">
      <c r="BN554" s="6"/>
      <c r="BO554" s="7"/>
      <c r="BP554" s="1"/>
      <c r="BQ554" s="1"/>
    </row>
    <row r="555" spans="66:69" ht="15.75" customHeight="1" x14ac:dyDescent="0.25">
      <c r="BN555" s="6"/>
      <c r="BO555" s="7"/>
      <c r="BP555" s="1"/>
      <c r="BQ555" s="1"/>
    </row>
    <row r="556" spans="66:69" ht="15.75" customHeight="1" x14ac:dyDescent="0.25">
      <c r="BN556" s="6"/>
      <c r="BO556" s="7"/>
      <c r="BP556" s="1"/>
      <c r="BQ556" s="1"/>
    </row>
    <row r="557" spans="66:69" ht="15.75" customHeight="1" x14ac:dyDescent="0.25">
      <c r="BN557" s="6"/>
      <c r="BO557" s="7"/>
      <c r="BP557" s="1"/>
      <c r="BQ557" s="1"/>
    </row>
    <row r="558" spans="66:69" ht="15.75" customHeight="1" x14ac:dyDescent="0.25">
      <c r="BN558" s="6"/>
      <c r="BO558" s="7"/>
      <c r="BP558" s="1"/>
      <c r="BQ558" s="1"/>
    </row>
    <row r="559" spans="66:69" ht="15.75" customHeight="1" x14ac:dyDescent="0.25">
      <c r="BN559" s="6"/>
      <c r="BO559" s="7"/>
      <c r="BP559" s="1"/>
      <c r="BQ559" s="1"/>
    </row>
    <row r="560" spans="66:69" ht="15.75" customHeight="1" x14ac:dyDescent="0.25">
      <c r="BN560" s="6"/>
      <c r="BO560" s="7"/>
      <c r="BP560" s="1"/>
      <c r="BQ560" s="1"/>
    </row>
    <row r="561" spans="66:69" ht="15.75" customHeight="1" x14ac:dyDescent="0.25">
      <c r="BN561" s="6"/>
      <c r="BO561" s="7"/>
      <c r="BP561" s="1"/>
      <c r="BQ561" s="1"/>
    </row>
    <row r="562" spans="66:69" ht="15.75" customHeight="1" x14ac:dyDescent="0.25">
      <c r="BN562" s="6"/>
      <c r="BO562" s="7"/>
      <c r="BP562" s="1"/>
      <c r="BQ562" s="1"/>
    </row>
    <row r="563" spans="66:69" ht="15.75" customHeight="1" x14ac:dyDescent="0.25">
      <c r="BN563" s="6"/>
      <c r="BO563" s="7"/>
      <c r="BP563" s="1"/>
      <c r="BQ563" s="1"/>
    </row>
    <row r="564" spans="66:69" ht="15.75" customHeight="1" x14ac:dyDescent="0.25">
      <c r="BN564" s="6"/>
      <c r="BO564" s="7"/>
      <c r="BP564" s="1"/>
      <c r="BQ564" s="1"/>
    </row>
    <row r="565" spans="66:69" ht="15.75" customHeight="1" x14ac:dyDescent="0.25">
      <c r="BN565" s="6"/>
      <c r="BO565" s="7"/>
      <c r="BP565" s="1"/>
      <c r="BQ565" s="1"/>
    </row>
    <row r="566" spans="66:69" ht="15.75" customHeight="1" x14ac:dyDescent="0.25">
      <c r="BN566" s="6"/>
      <c r="BO566" s="7"/>
      <c r="BP566" s="1"/>
      <c r="BQ566" s="1"/>
    </row>
    <row r="567" spans="66:69" ht="15.75" customHeight="1" x14ac:dyDescent="0.25">
      <c r="BN567" s="6"/>
      <c r="BO567" s="7"/>
      <c r="BP567" s="1"/>
      <c r="BQ567" s="1"/>
    </row>
    <row r="568" spans="66:69" ht="15.75" customHeight="1" x14ac:dyDescent="0.25">
      <c r="BN568" s="6"/>
      <c r="BO568" s="7"/>
      <c r="BP568" s="1"/>
      <c r="BQ568" s="1"/>
    </row>
    <row r="569" spans="66:69" ht="15.75" customHeight="1" x14ac:dyDescent="0.25">
      <c r="BN569" s="6"/>
      <c r="BO569" s="7"/>
      <c r="BP569" s="1"/>
      <c r="BQ569" s="1"/>
    </row>
    <row r="570" spans="66:69" ht="15.75" customHeight="1" x14ac:dyDescent="0.25">
      <c r="BN570" s="6"/>
      <c r="BO570" s="7"/>
      <c r="BP570" s="1"/>
      <c r="BQ570" s="1"/>
    </row>
    <row r="571" spans="66:69" ht="15.75" customHeight="1" x14ac:dyDescent="0.25">
      <c r="BN571" s="6"/>
      <c r="BO571" s="7"/>
      <c r="BP571" s="1"/>
      <c r="BQ571" s="1"/>
    </row>
    <row r="572" spans="66:69" ht="15.75" customHeight="1" x14ac:dyDescent="0.25">
      <c r="BN572" s="6"/>
      <c r="BO572" s="7"/>
      <c r="BP572" s="1"/>
      <c r="BQ572" s="1"/>
    </row>
    <row r="573" spans="66:69" ht="15.75" customHeight="1" x14ac:dyDescent="0.25">
      <c r="BN573" s="6"/>
      <c r="BO573" s="7"/>
      <c r="BP573" s="1"/>
      <c r="BQ573" s="1"/>
    </row>
    <row r="574" spans="66:69" ht="15.75" customHeight="1" x14ac:dyDescent="0.25">
      <c r="BN574" s="6"/>
      <c r="BO574" s="7"/>
      <c r="BP574" s="1"/>
      <c r="BQ574" s="1"/>
    </row>
    <row r="575" spans="66:69" ht="15.75" customHeight="1" x14ac:dyDescent="0.25">
      <c r="BN575" s="6"/>
      <c r="BO575" s="7"/>
      <c r="BP575" s="1"/>
      <c r="BQ575" s="1"/>
    </row>
    <row r="576" spans="66:69" ht="15.75" customHeight="1" x14ac:dyDescent="0.25">
      <c r="BN576" s="6"/>
      <c r="BO576" s="7"/>
      <c r="BP576" s="1"/>
      <c r="BQ576" s="1"/>
    </row>
    <row r="577" spans="66:69" ht="15.75" customHeight="1" x14ac:dyDescent="0.25">
      <c r="BN577" s="6"/>
      <c r="BO577" s="7"/>
      <c r="BP577" s="1"/>
      <c r="BQ577" s="1"/>
    </row>
    <row r="578" spans="66:69" ht="15.75" customHeight="1" x14ac:dyDescent="0.25">
      <c r="BN578" s="6"/>
      <c r="BO578" s="7"/>
      <c r="BP578" s="1"/>
      <c r="BQ578" s="1"/>
    </row>
    <row r="579" spans="66:69" ht="15.75" customHeight="1" x14ac:dyDescent="0.25">
      <c r="BN579" s="6"/>
      <c r="BO579" s="7"/>
      <c r="BP579" s="1"/>
      <c r="BQ579" s="1"/>
    </row>
    <row r="580" spans="66:69" ht="15.75" customHeight="1" x14ac:dyDescent="0.25">
      <c r="BN580" s="6"/>
      <c r="BO580" s="7"/>
      <c r="BP580" s="1"/>
      <c r="BQ580" s="1"/>
    </row>
    <row r="581" spans="66:69" ht="15.75" customHeight="1" x14ac:dyDescent="0.25">
      <c r="BN581" s="6"/>
      <c r="BO581" s="7"/>
      <c r="BP581" s="1"/>
      <c r="BQ581" s="1"/>
    </row>
    <row r="582" spans="66:69" ht="15.75" customHeight="1" x14ac:dyDescent="0.25">
      <c r="BN582" s="6"/>
      <c r="BO582" s="7"/>
      <c r="BP582" s="1"/>
      <c r="BQ582" s="1"/>
    </row>
    <row r="583" spans="66:69" ht="15.75" customHeight="1" x14ac:dyDescent="0.25">
      <c r="BN583" s="6"/>
      <c r="BO583" s="7"/>
      <c r="BP583" s="1"/>
      <c r="BQ583" s="1"/>
    </row>
    <row r="584" spans="66:69" ht="15.75" customHeight="1" x14ac:dyDescent="0.25">
      <c r="BN584" s="6"/>
      <c r="BO584" s="7"/>
      <c r="BP584" s="1"/>
      <c r="BQ584" s="1"/>
    </row>
    <row r="585" spans="66:69" ht="15.75" customHeight="1" x14ac:dyDescent="0.25">
      <c r="BN585" s="6"/>
      <c r="BO585" s="7"/>
      <c r="BP585" s="1"/>
      <c r="BQ585" s="1"/>
    </row>
    <row r="586" spans="66:69" ht="15.75" customHeight="1" x14ac:dyDescent="0.25">
      <c r="BN586" s="6"/>
      <c r="BO586" s="7"/>
      <c r="BP586" s="1"/>
      <c r="BQ586" s="1"/>
    </row>
    <row r="587" spans="66:69" ht="15.75" customHeight="1" x14ac:dyDescent="0.25">
      <c r="BN587" s="6"/>
      <c r="BO587" s="7"/>
      <c r="BP587" s="1"/>
      <c r="BQ587" s="1"/>
    </row>
    <row r="588" spans="66:69" ht="15.75" customHeight="1" x14ac:dyDescent="0.25">
      <c r="BN588" s="6"/>
      <c r="BO588" s="7"/>
      <c r="BP588" s="1"/>
      <c r="BQ588" s="1"/>
    </row>
    <row r="589" spans="66:69" ht="15.75" customHeight="1" x14ac:dyDescent="0.25">
      <c r="BN589" s="6"/>
      <c r="BO589" s="7"/>
      <c r="BP589" s="1"/>
      <c r="BQ589" s="1"/>
    </row>
    <row r="590" spans="66:69" ht="15.75" customHeight="1" x14ac:dyDescent="0.25">
      <c r="BN590" s="6"/>
      <c r="BO590" s="7"/>
      <c r="BP590" s="1"/>
      <c r="BQ590" s="1"/>
    </row>
    <row r="591" spans="66:69" ht="15.75" customHeight="1" x14ac:dyDescent="0.25">
      <c r="BN591" s="6"/>
      <c r="BO591" s="7"/>
      <c r="BP591" s="1"/>
      <c r="BQ591" s="1"/>
    </row>
    <row r="592" spans="66:69" ht="15.75" customHeight="1" x14ac:dyDescent="0.25">
      <c r="BN592" s="6"/>
      <c r="BO592" s="7"/>
      <c r="BP592" s="1"/>
      <c r="BQ592" s="1"/>
    </row>
    <row r="593" spans="66:69" ht="15.75" customHeight="1" x14ac:dyDescent="0.25">
      <c r="BN593" s="6"/>
      <c r="BO593" s="7"/>
      <c r="BP593" s="1"/>
      <c r="BQ593" s="1"/>
    </row>
    <row r="594" spans="66:69" ht="15.75" customHeight="1" x14ac:dyDescent="0.25">
      <c r="BN594" s="6"/>
      <c r="BO594" s="7"/>
      <c r="BP594" s="1"/>
      <c r="BQ594" s="1"/>
    </row>
    <row r="595" spans="66:69" ht="15.75" customHeight="1" x14ac:dyDescent="0.25">
      <c r="BN595" s="6"/>
      <c r="BO595" s="7"/>
      <c r="BP595" s="1"/>
      <c r="BQ595" s="1"/>
    </row>
    <row r="596" spans="66:69" ht="15.75" customHeight="1" x14ac:dyDescent="0.25">
      <c r="BN596" s="6"/>
      <c r="BO596" s="7"/>
      <c r="BP596" s="1"/>
      <c r="BQ596" s="1"/>
    </row>
    <row r="597" spans="66:69" ht="15.75" customHeight="1" x14ac:dyDescent="0.25">
      <c r="BN597" s="6"/>
      <c r="BO597" s="7"/>
      <c r="BP597" s="1"/>
      <c r="BQ597" s="1"/>
    </row>
    <row r="598" spans="66:69" ht="15.75" customHeight="1" x14ac:dyDescent="0.25">
      <c r="BN598" s="6"/>
      <c r="BO598" s="7"/>
      <c r="BP598" s="1"/>
      <c r="BQ598" s="1"/>
    </row>
    <row r="599" spans="66:69" ht="15.75" customHeight="1" x14ac:dyDescent="0.25">
      <c r="BN599" s="6"/>
      <c r="BO599" s="7"/>
      <c r="BP599" s="1"/>
      <c r="BQ599" s="1"/>
    </row>
    <row r="600" spans="66:69" ht="15.75" customHeight="1" x14ac:dyDescent="0.25">
      <c r="BN600" s="6"/>
      <c r="BO600" s="7"/>
      <c r="BP600" s="1"/>
      <c r="BQ600" s="1"/>
    </row>
    <row r="601" spans="66:69" ht="15.75" customHeight="1" x14ac:dyDescent="0.25">
      <c r="BN601" s="6"/>
      <c r="BO601" s="7"/>
      <c r="BP601" s="1"/>
      <c r="BQ601" s="1"/>
    </row>
    <row r="602" spans="66:69" ht="15.75" customHeight="1" x14ac:dyDescent="0.25">
      <c r="BN602" s="6"/>
      <c r="BO602" s="7"/>
      <c r="BP602" s="1"/>
      <c r="BQ602" s="1"/>
    </row>
    <row r="603" spans="66:69" ht="15.75" customHeight="1" x14ac:dyDescent="0.25">
      <c r="BN603" s="6"/>
      <c r="BO603" s="7"/>
      <c r="BP603" s="1"/>
      <c r="BQ603" s="1"/>
    </row>
    <row r="604" spans="66:69" ht="15.75" customHeight="1" x14ac:dyDescent="0.25">
      <c r="BN604" s="6"/>
      <c r="BO604" s="7"/>
      <c r="BP604" s="1"/>
      <c r="BQ604" s="1"/>
    </row>
    <row r="605" spans="66:69" ht="15.75" customHeight="1" x14ac:dyDescent="0.25">
      <c r="BN605" s="6"/>
      <c r="BO605" s="7"/>
      <c r="BP605" s="1"/>
      <c r="BQ605" s="1"/>
    </row>
    <row r="606" spans="66:69" ht="15.75" customHeight="1" x14ac:dyDescent="0.25">
      <c r="BN606" s="6"/>
      <c r="BO606" s="7"/>
      <c r="BP606" s="1"/>
      <c r="BQ606" s="1"/>
    </row>
    <row r="607" spans="66:69" ht="15.75" customHeight="1" x14ac:dyDescent="0.25">
      <c r="BN607" s="6"/>
      <c r="BO607" s="7"/>
      <c r="BP607" s="1"/>
      <c r="BQ607" s="1"/>
    </row>
    <row r="608" spans="66:69" ht="15.75" customHeight="1" x14ac:dyDescent="0.25">
      <c r="BN608" s="6"/>
      <c r="BO608" s="7"/>
      <c r="BP608" s="1"/>
      <c r="BQ608" s="1"/>
    </row>
    <row r="609" spans="66:69" ht="15.75" customHeight="1" x14ac:dyDescent="0.25">
      <c r="BN609" s="6"/>
      <c r="BO609" s="7"/>
      <c r="BP609" s="1"/>
      <c r="BQ609" s="1"/>
    </row>
    <row r="610" spans="66:69" ht="15.75" customHeight="1" x14ac:dyDescent="0.25">
      <c r="BN610" s="6"/>
      <c r="BO610" s="7"/>
      <c r="BP610" s="1"/>
      <c r="BQ610" s="1"/>
    </row>
    <row r="611" spans="66:69" ht="15.75" customHeight="1" x14ac:dyDescent="0.25">
      <c r="BN611" s="6"/>
      <c r="BO611" s="7"/>
      <c r="BP611" s="1"/>
      <c r="BQ611" s="1"/>
    </row>
    <row r="612" spans="66:69" ht="15.75" customHeight="1" x14ac:dyDescent="0.25">
      <c r="BN612" s="6"/>
      <c r="BO612" s="7"/>
      <c r="BP612" s="1"/>
      <c r="BQ612" s="1"/>
    </row>
    <row r="613" spans="66:69" ht="15.75" customHeight="1" x14ac:dyDescent="0.25">
      <c r="BN613" s="6"/>
      <c r="BO613" s="7"/>
      <c r="BP613" s="1"/>
      <c r="BQ613" s="1"/>
    </row>
    <row r="614" spans="66:69" ht="15.75" customHeight="1" x14ac:dyDescent="0.25">
      <c r="BN614" s="6"/>
      <c r="BO614" s="7"/>
      <c r="BP614" s="1"/>
      <c r="BQ614" s="1"/>
    </row>
    <row r="615" spans="66:69" ht="15.75" customHeight="1" x14ac:dyDescent="0.25">
      <c r="BN615" s="6"/>
      <c r="BO615" s="7"/>
      <c r="BP615" s="1"/>
      <c r="BQ615" s="1"/>
    </row>
    <row r="616" spans="66:69" ht="15.75" customHeight="1" x14ac:dyDescent="0.25">
      <c r="BN616" s="6"/>
      <c r="BO616" s="7"/>
      <c r="BP616" s="1"/>
      <c r="BQ616" s="1"/>
    </row>
    <row r="617" spans="66:69" ht="15.75" customHeight="1" x14ac:dyDescent="0.25">
      <c r="BN617" s="6"/>
      <c r="BO617" s="7"/>
      <c r="BP617" s="1"/>
      <c r="BQ617" s="1"/>
    </row>
    <row r="618" spans="66:69" ht="15.75" customHeight="1" x14ac:dyDescent="0.25">
      <c r="BN618" s="6"/>
      <c r="BO618" s="7"/>
      <c r="BP618" s="1"/>
      <c r="BQ618" s="1"/>
    </row>
    <row r="619" spans="66:69" ht="15.75" customHeight="1" x14ac:dyDescent="0.25">
      <c r="BN619" s="6"/>
      <c r="BO619" s="7"/>
      <c r="BP619" s="1"/>
      <c r="BQ619" s="1"/>
    </row>
    <row r="620" spans="66:69" ht="15.75" customHeight="1" x14ac:dyDescent="0.25">
      <c r="BN620" s="6"/>
      <c r="BO620" s="7"/>
      <c r="BP620" s="1"/>
      <c r="BQ620" s="1"/>
    </row>
    <row r="621" spans="66:69" ht="15.75" customHeight="1" x14ac:dyDescent="0.25">
      <c r="BN621" s="6"/>
      <c r="BO621" s="7"/>
      <c r="BP621" s="1"/>
      <c r="BQ621" s="1"/>
    </row>
    <row r="622" spans="66:69" ht="15.75" customHeight="1" x14ac:dyDescent="0.25">
      <c r="BN622" s="6"/>
      <c r="BO622" s="7"/>
      <c r="BP622" s="1"/>
      <c r="BQ622" s="1"/>
    </row>
    <row r="623" spans="66:69" ht="15.75" customHeight="1" x14ac:dyDescent="0.25">
      <c r="BN623" s="6"/>
      <c r="BO623" s="7"/>
      <c r="BP623" s="1"/>
      <c r="BQ623" s="1"/>
    </row>
    <row r="624" spans="66:69" ht="15.75" customHeight="1" x14ac:dyDescent="0.25">
      <c r="BN624" s="6"/>
      <c r="BO624" s="7"/>
      <c r="BP624" s="1"/>
      <c r="BQ624" s="1"/>
    </row>
    <row r="625" spans="66:69" ht="15.75" customHeight="1" x14ac:dyDescent="0.25">
      <c r="BN625" s="6"/>
      <c r="BO625" s="7"/>
      <c r="BP625" s="1"/>
      <c r="BQ625" s="1"/>
    </row>
    <row r="626" spans="66:69" ht="15.75" customHeight="1" x14ac:dyDescent="0.25">
      <c r="BN626" s="6"/>
      <c r="BO626" s="7"/>
      <c r="BP626" s="1"/>
      <c r="BQ626" s="1"/>
    </row>
    <row r="627" spans="66:69" ht="15.75" customHeight="1" x14ac:dyDescent="0.25">
      <c r="BN627" s="6"/>
      <c r="BO627" s="7"/>
      <c r="BP627" s="1"/>
      <c r="BQ627" s="1"/>
    </row>
    <row r="628" spans="66:69" ht="15.75" customHeight="1" x14ac:dyDescent="0.25">
      <c r="BN628" s="6"/>
      <c r="BO628" s="7"/>
      <c r="BP628" s="1"/>
      <c r="BQ628" s="1"/>
    </row>
    <row r="629" spans="66:69" ht="15.75" customHeight="1" x14ac:dyDescent="0.25">
      <c r="BN629" s="6"/>
      <c r="BO629" s="7"/>
      <c r="BP629" s="1"/>
      <c r="BQ629" s="1"/>
    </row>
    <row r="630" spans="66:69" ht="15.75" customHeight="1" x14ac:dyDescent="0.25">
      <c r="BN630" s="6"/>
      <c r="BO630" s="7"/>
      <c r="BP630" s="1"/>
      <c r="BQ630" s="1"/>
    </row>
    <row r="631" spans="66:69" ht="15.75" customHeight="1" x14ac:dyDescent="0.25">
      <c r="BN631" s="6"/>
      <c r="BO631" s="7"/>
      <c r="BP631" s="1"/>
      <c r="BQ631" s="1"/>
    </row>
    <row r="632" spans="66:69" ht="15.75" customHeight="1" x14ac:dyDescent="0.25">
      <c r="BN632" s="6"/>
      <c r="BO632" s="7"/>
      <c r="BP632" s="1"/>
      <c r="BQ632" s="1"/>
    </row>
    <row r="633" spans="66:69" ht="15.75" customHeight="1" x14ac:dyDescent="0.25">
      <c r="BN633" s="6"/>
      <c r="BO633" s="7"/>
      <c r="BP633" s="1"/>
      <c r="BQ633" s="1"/>
    </row>
    <row r="634" spans="66:69" ht="15.75" customHeight="1" x14ac:dyDescent="0.25">
      <c r="BN634" s="6"/>
      <c r="BO634" s="7"/>
      <c r="BP634" s="1"/>
      <c r="BQ634" s="1"/>
    </row>
    <row r="635" spans="66:69" ht="15.75" customHeight="1" x14ac:dyDescent="0.25">
      <c r="BN635" s="6"/>
      <c r="BO635" s="7"/>
      <c r="BP635" s="1"/>
      <c r="BQ635" s="1"/>
    </row>
    <row r="636" spans="66:69" ht="15.75" customHeight="1" x14ac:dyDescent="0.25">
      <c r="BN636" s="6"/>
      <c r="BO636" s="7"/>
      <c r="BP636" s="1"/>
      <c r="BQ636" s="1"/>
    </row>
    <row r="637" spans="66:69" ht="15.75" customHeight="1" x14ac:dyDescent="0.25">
      <c r="BN637" s="6"/>
      <c r="BO637" s="7"/>
      <c r="BP637" s="1"/>
      <c r="BQ637" s="1"/>
    </row>
    <row r="638" spans="66:69" ht="15.75" customHeight="1" x14ac:dyDescent="0.25">
      <c r="BN638" s="6"/>
      <c r="BO638" s="7"/>
      <c r="BP638" s="1"/>
      <c r="BQ638" s="1"/>
    </row>
    <row r="639" spans="66:69" ht="15.75" customHeight="1" x14ac:dyDescent="0.25">
      <c r="BN639" s="6"/>
      <c r="BO639" s="7"/>
      <c r="BP639" s="1"/>
      <c r="BQ639" s="1"/>
    </row>
    <row r="640" spans="66:69" ht="15.75" customHeight="1" x14ac:dyDescent="0.25">
      <c r="BN640" s="6"/>
      <c r="BO640" s="7"/>
      <c r="BP640" s="1"/>
      <c r="BQ640" s="1"/>
    </row>
    <row r="641" spans="66:69" ht="15.75" customHeight="1" x14ac:dyDescent="0.25">
      <c r="BN641" s="6"/>
      <c r="BO641" s="7"/>
      <c r="BP641" s="1"/>
      <c r="BQ641" s="1"/>
    </row>
    <row r="642" spans="66:69" ht="15.75" customHeight="1" x14ac:dyDescent="0.25">
      <c r="BN642" s="6"/>
      <c r="BO642" s="7"/>
      <c r="BP642" s="1"/>
      <c r="BQ642" s="1"/>
    </row>
    <row r="643" spans="66:69" ht="15.75" customHeight="1" x14ac:dyDescent="0.25">
      <c r="BN643" s="6"/>
      <c r="BO643" s="7"/>
      <c r="BP643" s="1"/>
      <c r="BQ643" s="1"/>
    </row>
    <row r="644" spans="66:69" ht="15.75" customHeight="1" x14ac:dyDescent="0.25">
      <c r="BN644" s="6"/>
      <c r="BO644" s="7"/>
      <c r="BP644" s="1"/>
      <c r="BQ644" s="1"/>
    </row>
    <row r="645" spans="66:69" ht="15.75" customHeight="1" x14ac:dyDescent="0.25">
      <c r="BN645" s="6"/>
      <c r="BO645" s="7"/>
      <c r="BP645" s="1"/>
      <c r="BQ645" s="1"/>
    </row>
    <row r="646" spans="66:69" ht="15.75" customHeight="1" x14ac:dyDescent="0.25">
      <c r="BN646" s="6"/>
      <c r="BO646" s="7"/>
      <c r="BP646" s="1"/>
      <c r="BQ646" s="1"/>
    </row>
    <row r="647" spans="66:69" ht="15.75" customHeight="1" x14ac:dyDescent="0.25">
      <c r="BN647" s="6"/>
      <c r="BO647" s="7"/>
      <c r="BP647" s="1"/>
      <c r="BQ647" s="1"/>
    </row>
    <row r="648" spans="66:69" ht="15.75" customHeight="1" x14ac:dyDescent="0.25">
      <c r="BN648" s="6"/>
      <c r="BO648" s="7"/>
      <c r="BP648" s="1"/>
      <c r="BQ648" s="1"/>
    </row>
    <row r="649" spans="66:69" ht="15.75" customHeight="1" x14ac:dyDescent="0.25">
      <c r="BN649" s="6"/>
      <c r="BO649" s="7"/>
      <c r="BP649" s="1"/>
      <c r="BQ649" s="1"/>
    </row>
    <row r="650" spans="66:69" ht="15.75" customHeight="1" x14ac:dyDescent="0.25">
      <c r="BN650" s="6"/>
      <c r="BO650" s="7"/>
      <c r="BP650" s="1"/>
      <c r="BQ650" s="1"/>
    </row>
    <row r="651" spans="66:69" ht="15.75" customHeight="1" x14ac:dyDescent="0.25">
      <c r="BN651" s="6"/>
      <c r="BO651" s="7"/>
      <c r="BP651" s="1"/>
      <c r="BQ651" s="1"/>
    </row>
    <row r="652" spans="66:69" ht="15.75" customHeight="1" x14ac:dyDescent="0.25">
      <c r="BN652" s="6"/>
      <c r="BO652" s="7"/>
      <c r="BP652" s="1"/>
      <c r="BQ652" s="1"/>
    </row>
    <row r="653" spans="66:69" ht="15.75" customHeight="1" x14ac:dyDescent="0.25">
      <c r="BN653" s="6"/>
      <c r="BO653" s="7"/>
      <c r="BP653" s="1"/>
      <c r="BQ653" s="1"/>
    </row>
    <row r="654" spans="66:69" ht="15.75" customHeight="1" x14ac:dyDescent="0.25">
      <c r="BN654" s="6"/>
      <c r="BO654" s="7"/>
      <c r="BP654" s="1"/>
      <c r="BQ654" s="1"/>
    </row>
    <row r="655" spans="66:69" ht="15.75" customHeight="1" x14ac:dyDescent="0.25">
      <c r="BN655" s="6"/>
      <c r="BO655" s="7"/>
      <c r="BP655" s="1"/>
      <c r="BQ655" s="1"/>
    </row>
    <row r="656" spans="66:69" ht="15.75" customHeight="1" x14ac:dyDescent="0.25">
      <c r="BN656" s="6"/>
      <c r="BO656" s="7"/>
      <c r="BP656" s="1"/>
      <c r="BQ656" s="1"/>
    </row>
    <row r="657" spans="66:69" ht="15.75" customHeight="1" x14ac:dyDescent="0.25">
      <c r="BN657" s="6"/>
      <c r="BO657" s="7"/>
      <c r="BP657" s="1"/>
      <c r="BQ657" s="1"/>
    </row>
    <row r="658" spans="66:69" ht="15.75" customHeight="1" x14ac:dyDescent="0.25">
      <c r="BN658" s="6"/>
      <c r="BO658" s="7"/>
      <c r="BP658" s="1"/>
      <c r="BQ658" s="1"/>
    </row>
    <row r="659" spans="66:69" ht="15.75" customHeight="1" x14ac:dyDescent="0.25">
      <c r="BN659" s="6"/>
      <c r="BO659" s="7"/>
      <c r="BP659" s="1"/>
      <c r="BQ659" s="1"/>
    </row>
    <row r="660" spans="66:69" ht="15.75" customHeight="1" x14ac:dyDescent="0.25">
      <c r="BN660" s="6"/>
      <c r="BO660" s="7"/>
      <c r="BP660" s="1"/>
      <c r="BQ660" s="1"/>
    </row>
    <row r="661" spans="66:69" ht="15.75" customHeight="1" x14ac:dyDescent="0.25">
      <c r="BN661" s="6"/>
      <c r="BO661" s="7"/>
      <c r="BP661" s="1"/>
      <c r="BQ661" s="1"/>
    </row>
    <row r="662" spans="66:69" ht="15.75" customHeight="1" x14ac:dyDescent="0.25">
      <c r="BN662" s="6"/>
      <c r="BO662" s="7"/>
      <c r="BP662" s="1"/>
      <c r="BQ662" s="1"/>
    </row>
    <row r="663" spans="66:69" ht="15.75" customHeight="1" x14ac:dyDescent="0.25">
      <c r="BN663" s="6"/>
      <c r="BO663" s="7"/>
      <c r="BP663" s="1"/>
      <c r="BQ663" s="1"/>
    </row>
    <row r="664" spans="66:69" ht="15.75" customHeight="1" x14ac:dyDescent="0.25">
      <c r="BN664" s="6"/>
      <c r="BO664" s="7"/>
      <c r="BP664" s="1"/>
      <c r="BQ664" s="1"/>
    </row>
    <row r="665" spans="66:69" ht="15.75" customHeight="1" x14ac:dyDescent="0.25">
      <c r="BN665" s="6"/>
      <c r="BO665" s="7"/>
      <c r="BP665" s="1"/>
      <c r="BQ665" s="1"/>
    </row>
    <row r="666" spans="66:69" ht="15.75" customHeight="1" x14ac:dyDescent="0.25">
      <c r="BN666" s="6"/>
      <c r="BO666" s="7"/>
      <c r="BP666" s="1"/>
      <c r="BQ666" s="1"/>
    </row>
    <row r="667" spans="66:69" ht="15.75" customHeight="1" x14ac:dyDescent="0.25">
      <c r="BN667" s="6"/>
      <c r="BO667" s="7"/>
      <c r="BP667" s="1"/>
      <c r="BQ667" s="1"/>
    </row>
    <row r="668" spans="66:69" ht="15.75" customHeight="1" x14ac:dyDescent="0.25">
      <c r="BN668" s="6"/>
      <c r="BO668" s="7"/>
      <c r="BP668" s="1"/>
      <c r="BQ668" s="1"/>
    </row>
    <row r="669" spans="66:69" ht="15.75" customHeight="1" x14ac:dyDescent="0.25">
      <c r="BN669" s="6"/>
      <c r="BO669" s="7"/>
      <c r="BP669" s="1"/>
      <c r="BQ669" s="1"/>
    </row>
    <row r="670" spans="66:69" ht="15.75" customHeight="1" x14ac:dyDescent="0.25">
      <c r="BN670" s="6"/>
      <c r="BO670" s="7"/>
      <c r="BP670" s="1"/>
      <c r="BQ670" s="1"/>
    </row>
    <row r="671" spans="66:69" ht="15.75" customHeight="1" x14ac:dyDescent="0.25">
      <c r="BN671" s="6"/>
      <c r="BO671" s="7"/>
      <c r="BP671" s="1"/>
      <c r="BQ671" s="1"/>
    </row>
    <row r="672" spans="66:69" ht="15.75" customHeight="1" x14ac:dyDescent="0.25">
      <c r="BN672" s="6"/>
      <c r="BO672" s="7"/>
      <c r="BP672" s="1"/>
      <c r="BQ672" s="1"/>
    </row>
    <row r="673" spans="66:69" ht="15.75" customHeight="1" x14ac:dyDescent="0.25">
      <c r="BN673" s="6"/>
      <c r="BO673" s="7"/>
      <c r="BP673" s="1"/>
      <c r="BQ673" s="1"/>
    </row>
    <row r="674" spans="66:69" ht="15.75" customHeight="1" x14ac:dyDescent="0.25">
      <c r="BN674" s="6"/>
      <c r="BO674" s="7"/>
      <c r="BP674" s="1"/>
      <c r="BQ674" s="1"/>
    </row>
    <row r="675" spans="66:69" ht="15.75" customHeight="1" x14ac:dyDescent="0.25">
      <c r="BN675" s="6"/>
      <c r="BO675" s="7"/>
      <c r="BP675" s="1"/>
      <c r="BQ675" s="1"/>
    </row>
    <row r="676" spans="66:69" ht="15.75" customHeight="1" x14ac:dyDescent="0.25">
      <c r="BN676" s="6"/>
      <c r="BO676" s="7"/>
      <c r="BP676" s="1"/>
      <c r="BQ676" s="1"/>
    </row>
    <row r="677" spans="66:69" ht="15.75" customHeight="1" x14ac:dyDescent="0.25">
      <c r="BN677" s="6"/>
      <c r="BO677" s="7"/>
      <c r="BP677" s="1"/>
      <c r="BQ677" s="1"/>
    </row>
    <row r="678" spans="66:69" ht="15.75" customHeight="1" x14ac:dyDescent="0.25">
      <c r="BN678" s="6"/>
      <c r="BO678" s="7"/>
      <c r="BP678" s="1"/>
      <c r="BQ678" s="1"/>
    </row>
    <row r="679" spans="66:69" ht="15.75" customHeight="1" x14ac:dyDescent="0.25">
      <c r="BN679" s="6"/>
      <c r="BO679" s="7"/>
      <c r="BP679" s="1"/>
      <c r="BQ679" s="1"/>
    </row>
    <row r="680" spans="66:69" ht="15.75" customHeight="1" x14ac:dyDescent="0.25">
      <c r="BN680" s="6"/>
      <c r="BO680" s="7"/>
      <c r="BP680" s="1"/>
      <c r="BQ680" s="1"/>
    </row>
    <row r="681" spans="66:69" ht="15.75" customHeight="1" x14ac:dyDescent="0.25">
      <c r="BN681" s="6"/>
      <c r="BO681" s="7"/>
      <c r="BP681" s="1"/>
      <c r="BQ681" s="1"/>
    </row>
    <row r="682" spans="66:69" ht="15.75" customHeight="1" x14ac:dyDescent="0.25">
      <c r="BN682" s="6"/>
      <c r="BO682" s="7"/>
      <c r="BP682" s="1"/>
      <c r="BQ682" s="1"/>
    </row>
    <row r="683" spans="66:69" ht="15.75" customHeight="1" x14ac:dyDescent="0.25">
      <c r="BN683" s="6"/>
      <c r="BO683" s="7"/>
      <c r="BP683" s="1"/>
      <c r="BQ683" s="1"/>
    </row>
    <row r="684" spans="66:69" ht="15.75" customHeight="1" x14ac:dyDescent="0.25">
      <c r="BN684" s="6"/>
      <c r="BO684" s="7"/>
      <c r="BP684" s="1"/>
      <c r="BQ684" s="1"/>
    </row>
    <row r="685" spans="66:69" ht="15.75" customHeight="1" x14ac:dyDescent="0.25">
      <c r="BN685" s="6"/>
      <c r="BO685" s="7"/>
      <c r="BP685" s="1"/>
      <c r="BQ685" s="1"/>
    </row>
    <row r="686" spans="66:69" ht="15.75" customHeight="1" x14ac:dyDescent="0.25">
      <c r="BN686" s="6"/>
      <c r="BO686" s="7"/>
      <c r="BP686" s="1"/>
      <c r="BQ686" s="1"/>
    </row>
    <row r="687" spans="66:69" ht="15.75" customHeight="1" x14ac:dyDescent="0.25">
      <c r="BN687" s="6"/>
      <c r="BO687" s="7"/>
      <c r="BP687" s="1"/>
      <c r="BQ687" s="1"/>
    </row>
    <row r="688" spans="66:69" ht="15.75" customHeight="1" x14ac:dyDescent="0.25">
      <c r="BN688" s="6"/>
      <c r="BO688" s="7"/>
      <c r="BP688" s="1"/>
      <c r="BQ688" s="1"/>
    </row>
    <row r="689" spans="66:69" ht="15.75" customHeight="1" x14ac:dyDescent="0.25">
      <c r="BN689" s="6"/>
      <c r="BO689" s="7"/>
      <c r="BP689" s="1"/>
      <c r="BQ689" s="1"/>
    </row>
    <row r="690" spans="66:69" ht="15.75" customHeight="1" x14ac:dyDescent="0.25">
      <c r="BN690" s="6"/>
      <c r="BO690" s="7"/>
      <c r="BP690" s="1"/>
      <c r="BQ690" s="1"/>
    </row>
    <row r="691" spans="66:69" ht="15.75" customHeight="1" x14ac:dyDescent="0.25">
      <c r="BN691" s="6"/>
      <c r="BO691" s="7"/>
      <c r="BP691" s="1"/>
      <c r="BQ691" s="1"/>
    </row>
    <row r="692" spans="66:69" ht="15.75" customHeight="1" x14ac:dyDescent="0.25">
      <c r="BN692" s="6"/>
      <c r="BO692" s="7"/>
      <c r="BP692" s="1"/>
      <c r="BQ692" s="1"/>
    </row>
    <row r="693" spans="66:69" ht="15.75" customHeight="1" x14ac:dyDescent="0.25">
      <c r="BN693" s="6"/>
      <c r="BO693" s="7"/>
      <c r="BP693" s="1"/>
      <c r="BQ693" s="1"/>
    </row>
    <row r="694" spans="66:69" ht="15.75" customHeight="1" x14ac:dyDescent="0.25">
      <c r="BN694" s="6"/>
      <c r="BO694" s="7"/>
      <c r="BP694" s="1"/>
      <c r="BQ694" s="1"/>
    </row>
    <row r="695" spans="66:69" ht="15.75" customHeight="1" x14ac:dyDescent="0.25">
      <c r="BN695" s="6"/>
      <c r="BO695" s="7"/>
      <c r="BP695" s="1"/>
      <c r="BQ695" s="1"/>
    </row>
    <row r="696" spans="66:69" ht="15.75" customHeight="1" x14ac:dyDescent="0.25">
      <c r="BN696" s="6"/>
      <c r="BO696" s="7"/>
      <c r="BP696" s="1"/>
      <c r="BQ696" s="1"/>
    </row>
    <row r="697" spans="66:69" ht="15.75" customHeight="1" x14ac:dyDescent="0.25">
      <c r="BN697" s="6"/>
      <c r="BO697" s="7"/>
      <c r="BP697" s="1"/>
      <c r="BQ697" s="1"/>
    </row>
    <row r="698" spans="66:69" ht="15.75" customHeight="1" x14ac:dyDescent="0.25">
      <c r="BN698" s="6"/>
      <c r="BO698" s="7"/>
      <c r="BP698" s="1"/>
      <c r="BQ698" s="1"/>
    </row>
    <row r="699" spans="66:69" ht="15.75" customHeight="1" x14ac:dyDescent="0.25">
      <c r="BN699" s="6"/>
      <c r="BO699" s="7"/>
      <c r="BP699" s="1"/>
      <c r="BQ699" s="1"/>
    </row>
    <row r="700" spans="66:69" ht="15.75" customHeight="1" x14ac:dyDescent="0.25">
      <c r="BN700" s="6"/>
      <c r="BO700" s="7"/>
      <c r="BP700" s="1"/>
      <c r="BQ700" s="1"/>
    </row>
    <row r="701" spans="66:69" ht="15.75" customHeight="1" x14ac:dyDescent="0.25">
      <c r="BN701" s="6"/>
      <c r="BO701" s="7"/>
      <c r="BP701" s="1"/>
      <c r="BQ701" s="1"/>
    </row>
    <row r="702" spans="66:69" ht="15.75" customHeight="1" x14ac:dyDescent="0.25">
      <c r="BN702" s="6"/>
      <c r="BO702" s="7"/>
      <c r="BP702" s="1"/>
      <c r="BQ702" s="1"/>
    </row>
    <row r="703" spans="66:69" ht="15.75" customHeight="1" x14ac:dyDescent="0.25">
      <c r="BN703" s="6"/>
      <c r="BO703" s="7"/>
      <c r="BP703" s="1"/>
      <c r="BQ703" s="1"/>
    </row>
    <row r="704" spans="66:69" ht="15.75" customHeight="1" x14ac:dyDescent="0.25">
      <c r="BN704" s="6"/>
      <c r="BO704" s="7"/>
      <c r="BP704" s="1"/>
      <c r="BQ704" s="1"/>
    </row>
    <row r="705" spans="66:69" ht="15.75" customHeight="1" x14ac:dyDescent="0.25">
      <c r="BN705" s="6"/>
      <c r="BO705" s="7"/>
      <c r="BP705" s="1"/>
      <c r="BQ705" s="1"/>
    </row>
    <row r="706" spans="66:69" ht="15.75" customHeight="1" x14ac:dyDescent="0.25">
      <c r="BN706" s="6"/>
      <c r="BO706" s="7"/>
      <c r="BP706" s="1"/>
      <c r="BQ706" s="1"/>
    </row>
    <row r="707" spans="66:69" ht="15.75" customHeight="1" x14ac:dyDescent="0.25">
      <c r="BN707" s="6"/>
      <c r="BO707" s="7"/>
      <c r="BP707" s="1"/>
      <c r="BQ707" s="1"/>
    </row>
    <row r="708" spans="66:69" ht="15.75" customHeight="1" x14ac:dyDescent="0.25">
      <c r="BN708" s="6"/>
      <c r="BO708" s="7"/>
      <c r="BP708" s="1"/>
      <c r="BQ708" s="1"/>
    </row>
    <row r="709" spans="66:69" ht="15.75" customHeight="1" x14ac:dyDescent="0.25">
      <c r="BN709" s="6"/>
      <c r="BO709" s="7"/>
      <c r="BP709" s="1"/>
      <c r="BQ709" s="1"/>
    </row>
    <row r="710" spans="66:69" ht="15.75" customHeight="1" x14ac:dyDescent="0.25">
      <c r="BN710" s="6"/>
      <c r="BO710" s="7"/>
      <c r="BP710" s="1"/>
      <c r="BQ710" s="1"/>
    </row>
    <row r="711" spans="66:69" ht="15.75" customHeight="1" x14ac:dyDescent="0.25">
      <c r="BN711" s="6"/>
      <c r="BO711" s="7"/>
      <c r="BP711" s="1"/>
      <c r="BQ711" s="1"/>
    </row>
    <row r="712" spans="66:69" ht="15.75" customHeight="1" x14ac:dyDescent="0.25">
      <c r="BN712" s="6"/>
      <c r="BO712" s="7"/>
      <c r="BP712" s="1"/>
      <c r="BQ712" s="1"/>
    </row>
    <row r="713" spans="66:69" ht="15.75" customHeight="1" x14ac:dyDescent="0.25">
      <c r="BN713" s="6"/>
      <c r="BO713" s="7"/>
      <c r="BP713" s="1"/>
      <c r="BQ713" s="1"/>
    </row>
    <row r="714" spans="66:69" ht="15.75" customHeight="1" x14ac:dyDescent="0.25">
      <c r="BN714" s="6"/>
      <c r="BO714" s="7"/>
      <c r="BP714" s="1"/>
      <c r="BQ714" s="1"/>
    </row>
    <row r="715" spans="66:69" ht="15.75" customHeight="1" x14ac:dyDescent="0.25">
      <c r="BN715" s="6"/>
      <c r="BO715" s="7"/>
      <c r="BP715" s="1"/>
      <c r="BQ715" s="1"/>
    </row>
    <row r="716" spans="66:69" ht="15.75" customHeight="1" x14ac:dyDescent="0.25">
      <c r="BN716" s="6"/>
      <c r="BO716" s="7"/>
      <c r="BP716" s="1"/>
      <c r="BQ716" s="1"/>
    </row>
    <row r="717" spans="66:69" ht="15.75" customHeight="1" x14ac:dyDescent="0.25">
      <c r="BN717" s="6"/>
      <c r="BO717" s="7"/>
      <c r="BP717" s="1"/>
      <c r="BQ717" s="1"/>
    </row>
    <row r="718" spans="66:69" ht="15.75" customHeight="1" x14ac:dyDescent="0.25">
      <c r="BN718" s="6"/>
      <c r="BO718" s="7"/>
      <c r="BP718" s="1"/>
      <c r="BQ718" s="1"/>
    </row>
    <row r="719" spans="66:69" ht="15.75" customHeight="1" x14ac:dyDescent="0.25">
      <c r="BN719" s="6"/>
      <c r="BO719" s="7"/>
      <c r="BP719" s="1"/>
      <c r="BQ719" s="1"/>
    </row>
    <row r="720" spans="66:69" ht="15.75" customHeight="1" x14ac:dyDescent="0.25">
      <c r="BN720" s="6"/>
      <c r="BO720" s="7"/>
      <c r="BP720" s="1"/>
      <c r="BQ720" s="1"/>
    </row>
    <row r="721" spans="66:69" ht="15.75" customHeight="1" x14ac:dyDescent="0.25">
      <c r="BN721" s="6"/>
      <c r="BO721" s="7"/>
      <c r="BP721" s="1"/>
      <c r="BQ721" s="1"/>
    </row>
    <row r="722" spans="66:69" ht="15.75" customHeight="1" x14ac:dyDescent="0.25">
      <c r="BN722" s="6"/>
      <c r="BO722" s="7"/>
      <c r="BP722" s="1"/>
      <c r="BQ722" s="1"/>
    </row>
    <row r="723" spans="66:69" ht="15.75" customHeight="1" x14ac:dyDescent="0.25">
      <c r="BN723" s="6"/>
      <c r="BO723" s="7"/>
      <c r="BP723" s="1"/>
      <c r="BQ723" s="1"/>
    </row>
    <row r="724" spans="66:69" ht="15.75" customHeight="1" x14ac:dyDescent="0.25">
      <c r="BN724" s="6"/>
      <c r="BO724" s="7"/>
      <c r="BP724" s="1"/>
      <c r="BQ724" s="1"/>
    </row>
    <row r="725" spans="66:69" ht="15.75" customHeight="1" x14ac:dyDescent="0.25">
      <c r="BN725" s="6"/>
      <c r="BO725" s="7"/>
      <c r="BP725" s="1"/>
      <c r="BQ725" s="1"/>
    </row>
    <row r="726" spans="66:69" ht="15.75" customHeight="1" x14ac:dyDescent="0.25">
      <c r="BN726" s="6"/>
      <c r="BO726" s="7"/>
      <c r="BP726" s="1"/>
      <c r="BQ726" s="1"/>
    </row>
    <row r="727" spans="66:69" ht="15.75" customHeight="1" x14ac:dyDescent="0.25">
      <c r="BN727" s="6"/>
      <c r="BO727" s="7"/>
      <c r="BP727" s="1"/>
      <c r="BQ727" s="1"/>
    </row>
    <row r="728" spans="66:69" ht="15.75" customHeight="1" x14ac:dyDescent="0.25">
      <c r="BN728" s="6"/>
      <c r="BO728" s="7"/>
      <c r="BP728" s="1"/>
      <c r="BQ728" s="1"/>
    </row>
    <row r="729" spans="66:69" ht="15.75" customHeight="1" x14ac:dyDescent="0.25">
      <c r="BN729" s="6"/>
      <c r="BO729" s="7"/>
      <c r="BP729" s="1"/>
      <c r="BQ729" s="1"/>
    </row>
    <row r="730" spans="66:69" ht="15.75" customHeight="1" x14ac:dyDescent="0.25">
      <c r="BN730" s="6"/>
      <c r="BO730" s="7"/>
      <c r="BP730" s="1"/>
      <c r="BQ730" s="1"/>
    </row>
    <row r="731" spans="66:69" ht="15.75" customHeight="1" x14ac:dyDescent="0.25">
      <c r="BN731" s="6"/>
      <c r="BO731" s="7"/>
      <c r="BP731" s="1"/>
      <c r="BQ731" s="1"/>
    </row>
    <row r="732" spans="66:69" ht="15.75" customHeight="1" x14ac:dyDescent="0.25">
      <c r="BN732" s="6"/>
      <c r="BO732" s="7"/>
      <c r="BP732" s="1"/>
      <c r="BQ732" s="1"/>
    </row>
    <row r="733" spans="66:69" ht="15.75" customHeight="1" x14ac:dyDescent="0.25">
      <c r="BN733" s="6"/>
      <c r="BO733" s="7"/>
      <c r="BP733" s="1"/>
      <c r="BQ733" s="1"/>
    </row>
    <row r="734" spans="66:69" ht="15.75" customHeight="1" x14ac:dyDescent="0.25">
      <c r="BN734" s="6"/>
      <c r="BO734" s="7"/>
      <c r="BP734" s="1"/>
      <c r="BQ734" s="1"/>
    </row>
    <row r="735" spans="66:69" ht="15.75" customHeight="1" x14ac:dyDescent="0.25">
      <c r="BN735" s="6"/>
      <c r="BO735" s="7"/>
      <c r="BP735" s="1"/>
      <c r="BQ735" s="1"/>
    </row>
    <row r="736" spans="66:69" ht="15.75" customHeight="1" x14ac:dyDescent="0.25">
      <c r="BN736" s="6"/>
      <c r="BO736" s="7"/>
      <c r="BP736" s="1"/>
      <c r="BQ736" s="1"/>
    </row>
    <row r="737" spans="66:69" ht="15.75" customHeight="1" x14ac:dyDescent="0.25">
      <c r="BN737" s="6"/>
      <c r="BO737" s="7"/>
      <c r="BP737" s="1"/>
      <c r="BQ737" s="1"/>
    </row>
    <row r="738" spans="66:69" ht="15.75" customHeight="1" x14ac:dyDescent="0.25">
      <c r="BN738" s="6"/>
      <c r="BO738" s="7"/>
      <c r="BP738" s="1"/>
      <c r="BQ738" s="1"/>
    </row>
    <row r="739" spans="66:69" ht="15.75" customHeight="1" x14ac:dyDescent="0.25">
      <c r="BN739" s="6"/>
      <c r="BO739" s="7"/>
      <c r="BP739" s="1"/>
      <c r="BQ739" s="1"/>
    </row>
    <row r="740" spans="66:69" ht="15.75" customHeight="1" x14ac:dyDescent="0.25">
      <c r="BN740" s="6"/>
      <c r="BO740" s="7"/>
      <c r="BP740" s="1"/>
      <c r="BQ740" s="1"/>
    </row>
    <row r="741" spans="66:69" ht="15.75" customHeight="1" x14ac:dyDescent="0.25">
      <c r="BN741" s="6"/>
      <c r="BO741" s="7"/>
      <c r="BP741" s="1"/>
      <c r="BQ741" s="1"/>
    </row>
    <row r="742" spans="66:69" ht="15.75" customHeight="1" x14ac:dyDescent="0.25">
      <c r="BN742" s="6"/>
      <c r="BO742" s="7"/>
      <c r="BP742" s="1"/>
      <c r="BQ742" s="1"/>
    </row>
    <row r="743" spans="66:69" ht="15.75" customHeight="1" x14ac:dyDescent="0.25">
      <c r="BN743" s="6"/>
      <c r="BO743" s="7"/>
      <c r="BP743" s="1"/>
      <c r="BQ743" s="1"/>
    </row>
    <row r="744" spans="66:69" ht="15.75" customHeight="1" x14ac:dyDescent="0.25">
      <c r="BN744" s="6"/>
      <c r="BO744" s="7"/>
      <c r="BP744" s="1"/>
      <c r="BQ744" s="1"/>
    </row>
    <row r="745" spans="66:69" ht="15.75" customHeight="1" x14ac:dyDescent="0.25">
      <c r="BN745" s="6"/>
      <c r="BO745" s="7"/>
      <c r="BP745" s="1"/>
      <c r="BQ745" s="1"/>
    </row>
    <row r="746" spans="66:69" ht="15.75" customHeight="1" x14ac:dyDescent="0.25">
      <c r="BN746" s="6"/>
      <c r="BO746" s="7"/>
      <c r="BP746" s="1"/>
      <c r="BQ746" s="1"/>
    </row>
    <row r="747" spans="66:69" ht="15.75" customHeight="1" x14ac:dyDescent="0.25">
      <c r="BN747" s="6"/>
      <c r="BO747" s="7"/>
      <c r="BP747" s="1"/>
      <c r="BQ747" s="1"/>
    </row>
    <row r="748" spans="66:69" ht="15.75" customHeight="1" x14ac:dyDescent="0.25">
      <c r="BN748" s="6"/>
      <c r="BO748" s="7"/>
      <c r="BP748" s="1"/>
      <c r="BQ748" s="1"/>
    </row>
    <row r="749" spans="66:69" ht="15.75" customHeight="1" x14ac:dyDescent="0.25">
      <c r="BN749" s="6"/>
      <c r="BO749" s="7"/>
      <c r="BP749" s="1"/>
      <c r="BQ749" s="1"/>
    </row>
    <row r="750" spans="66:69" ht="15.75" customHeight="1" x14ac:dyDescent="0.25">
      <c r="BN750" s="6"/>
      <c r="BO750" s="7"/>
      <c r="BP750" s="1"/>
      <c r="BQ750" s="1"/>
    </row>
    <row r="751" spans="66:69" ht="15.75" customHeight="1" x14ac:dyDescent="0.25">
      <c r="BN751" s="6"/>
      <c r="BO751" s="7"/>
      <c r="BP751" s="1"/>
      <c r="BQ751" s="1"/>
    </row>
    <row r="752" spans="66:69" ht="15.75" customHeight="1" x14ac:dyDescent="0.25">
      <c r="BN752" s="6"/>
      <c r="BO752" s="7"/>
      <c r="BP752" s="1"/>
      <c r="BQ752" s="1"/>
    </row>
    <row r="753" spans="66:69" ht="15.75" customHeight="1" x14ac:dyDescent="0.25">
      <c r="BN753" s="6"/>
      <c r="BO753" s="7"/>
      <c r="BP753" s="1"/>
      <c r="BQ753" s="1"/>
    </row>
    <row r="754" spans="66:69" ht="15.75" customHeight="1" x14ac:dyDescent="0.25">
      <c r="BN754" s="6"/>
      <c r="BO754" s="7"/>
      <c r="BP754" s="1"/>
      <c r="BQ754" s="1"/>
    </row>
    <row r="755" spans="66:69" ht="15.75" customHeight="1" x14ac:dyDescent="0.25">
      <c r="BN755" s="6"/>
      <c r="BO755" s="7"/>
      <c r="BP755" s="1"/>
      <c r="BQ755" s="1"/>
    </row>
    <row r="756" spans="66:69" ht="15.75" customHeight="1" x14ac:dyDescent="0.25">
      <c r="BN756" s="6"/>
      <c r="BO756" s="7"/>
      <c r="BP756" s="1"/>
      <c r="BQ756" s="1"/>
    </row>
    <row r="757" spans="66:69" ht="15.75" customHeight="1" x14ac:dyDescent="0.25">
      <c r="BN757" s="6"/>
      <c r="BO757" s="7"/>
      <c r="BP757" s="1"/>
      <c r="BQ757" s="1"/>
    </row>
    <row r="758" spans="66:69" ht="15.75" customHeight="1" x14ac:dyDescent="0.25">
      <c r="BN758" s="6"/>
      <c r="BO758" s="7"/>
      <c r="BP758" s="1"/>
      <c r="BQ758" s="1"/>
    </row>
    <row r="759" spans="66:69" ht="15.75" customHeight="1" x14ac:dyDescent="0.25">
      <c r="BN759" s="6"/>
      <c r="BO759" s="7"/>
      <c r="BP759" s="1"/>
      <c r="BQ759" s="1"/>
    </row>
    <row r="760" spans="66:69" ht="15.75" customHeight="1" x14ac:dyDescent="0.25">
      <c r="BN760" s="6"/>
      <c r="BO760" s="7"/>
      <c r="BP760" s="1"/>
      <c r="BQ760" s="1"/>
    </row>
    <row r="761" spans="66:69" ht="15.75" customHeight="1" x14ac:dyDescent="0.25">
      <c r="BN761" s="6"/>
      <c r="BO761" s="7"/>
      <c r="BP761" s="1"/>
      <c r="BQ761" s="1"/>
    </row>
    <row r="762" spans="66:69" ht="15.75" customHeight="1" x14ac:dyDescent="0.25">
      <c r="BN762" s="6"/>
      <c r="BO762" s="7"/>
      <c r="BP762" s="1"/>
      <c r="BQ762" s="1"/>
    </row>
    <row r="763" spans="66:69" ht="15.75" customHeight="1" x14ac:dyDescent="0.25">
      <c r="BN763" s="6"/>
      <c r="BO763" s="7"/>
      <c r="BP763" s="1"/>
      <c r="BQ763" s="1"/>
    </row>
    <row r="764" spans="66:69" ht="15.75" customHeight="1" x14ac:dyDescent="0.25">
      <c r="BN764" s="6"/>
      <c r="BO764" s="7"/>
      <c r="BP764" s="1"/>
      <c r="BQ764" s="1"/>
    </row>
    <row r="765" spans="66:69" ht="15.75" customHeight="1" x14ac:dyDescent="0.25">
      <c r="BN765" s="6"/>
      <c r="BO765" s="7"/>
      <c r="BP765" s="1"/>
      <c r="BQ765" s="1"/>
    </row>
    <row r="766" spans="66:69" ht="15.75" customHeight="1" x14ac:dyDescent="0.25">
      <c r="BN766" s="6"/>
      <c r="BO766" s="7"/>
      <c r="BP766" s="1"/>
      <c r="BQ766" s="1"/>
    </row>
    <row r="767" spans="66:69" ht="15.75" customHeight="1" x14ac:dyDescent="0.25">
      <c r="BN767" s="6"/>
      <c r="BO767" s="7"/>
      <c r="BP767" s="1"/>
      <c r="BQ767" s="1"/>
    </row>
    <row r="768" spans="66:69" ht="15.75" customHeight="1" x14ac:dyDescent="0.25">
      <c r="BN768" s="6"/>
      <c r="BO768" s="7"/>
      <c r="BP768" s="1"/>
      <c r="BQ768" s="1"/>
    </row>
    <row r="769" spans="66:69" ht="15.75" customHeight="1" x14ac:dyDescent="0.25">
      <c r="BN769" s="6"/>
      <c r="BO769" s="7"/>
      <c r="BP769" s="1"/>
      <c r="BQ769" s="1"/>
    </row>
    <row r="770" spans="66:69" ht="15.75" customHeight="1" x14ac:dyDescent="0.25">
      <c r="BN770" s="6"/>
      <c r="BO770" s="7"/>
      <c r="BP770" s="1"/>
      <c r="BQ770" s="1"/>
    </row>
    <row r="771" spans="66:69" ht="15.75" customHeight="1" x14ac:dyDescent="0.25">
      <c r="BN771" s="6"/>
      <c r="BO771" s="7"/>
      <c r="BP771" s="1"/>
      <c r="BQ771" s="1"/>
    </row>
    <row r="772" spans="66:69" ht="15.75" customHeight="1" x14ac:dyDescent="0.25">
      <c r="BN772" s="6"/>
      <c r="BO772" s="7"/>
      <c r="BP772" s="1"/>
      <c r="BQ772" s="1"/>
    </row>
    <row r="773" spans="66:69" ht="15.75" customHeight="1" x14ac:dyDescent="0.25">
      <c r="BN773" s="6"/>
      <c r="BO773" s="7"/>
      <c r="BP773" s="1"/>
      <c r="BQ773" s="1"/>
    </row>
    <row r="774" spans="66:69" ht="15.75" customHeight="1" x14ac:dyDescent="0.25">
      <c r="BN774" s="6"/>
      <c r="BO774" s="7"/>
      <c r="BP774" s="1"/>
      <c r="BQ774" s="1"/>
    </row>
    <row r="775" spans="66:69" ht="15.75" customHeight="1" x14ac:dyDescent="0.25">
      <c r="BN775" s="6"/>
      <c r="BO775" s="7"/>
      <c r="BP775" s="1"/>
      <c r="BQ775" s="1"/>
    </row>
    <row r="776" spans="66:69" ht="15.75" customHeight="1" x14ac:dyDescent="0.25">
      <c r="BN776" s="6"/>
      <c r="BO776" s="7"/>
      <c r="BP776" s="1"/>
      <c r="BQ776" s="1"/>
    </row>
    <row r="777" spans="66:69" ht="15.75" customHeight="1" x14ac:dyDescent="0.25">
      <c r="BN777" s="6"/>
      <c r="BO777" s="7"/>
      <c r="BP777" s="1"/>
      <c r="BQ777" s="1"/>
    </row>
    <row r="778" spans="66:69" ht="15.75" customHeight="1" x14ac:dyDescent="0.25">
      <c r="BN778" s="6"/>
      <c r="BO778" s="7"/>
      <c r="BP778" s="1"/>
      <c r="BQ778" s="1"/>
    </row>
    <row r="779" spans="66:69" ht="15.75" customHeight="1" x14ac:dyDescent="0.25">
      <c r="BN779" s="6"/>
      <c r="BO779" s="7"/>
      <c r="BP779" s="1"/>
      <c r="BQ779" s="1"/>
    </row>
    <row r="780" spans="66:69" ht="15.75" customHeight="1" x14ac:dyDescent="0.25">
      <c r="BN780" s="6"/>
      <c r="BO780" s="7"/>
      <c r="BP780" s="1"/>
      <c r="BQ780" s="1"/>
    </row>
    <row r="781" spans="66:69" ht="15.75" customHeight="1" x14ac:dyDescent="0.25">
      <c r="BN781" s="6"/>
      <c r="BO781" s="7"/>
      <c r="BP781" s="1"/>
      <c r="BQ781" s="1"/>
    </row>
    <row r="782" spans="66:69" ht="15.75" customHeight="1" x14ac:dyDescent="0.25">
      <c r="BN782" s="6"/>
      <c r="BO782" s="7"/>
      <c r="BP782" s="1"/>
      <c r="BQ782" s="1"/>
    </row>
    <row r="783" spans="66:69" ht="15.75" customHeight="1" x14ac:dyDescent="0.25">
      <c r="BN783" s="6"/>
      <c r="BO783" s="7"/>
      <c r="BP783" s="1"/>
      <c r="BQ783" s="1"/>
    </row>
    <row r="784" spans="66:69" ht="15.75" customHeight="1" x14ac:dyDescent="0.25">
      <c r="BN784" s="6"/>
      <c r="BO784" s="7"/>
      <c r="BP784" s="1"/>
      <c r="BQ784" s="1"/>
    </row>
    <row r="785" spans="66:69" ht="15.75" customHeight="1" x14ac:dyDescent="0.25">
      <c r="BN785" s="6"/>
      <c r="BO785" s="7"/>
      <c r="BP785" s="1"/>
      <c r="BQ785" s="1"/>
    </row>
    <row r="786" spans="66:69" ht="15.75" customHeight="1" x14ac:dyDescent="0.25">
      <c r="BN786" s="6"/>
      <c r="BO786" s="7"/>
      <c r="BP786" s="1"/>
      <c r="BQ786" s="1"/>
    </row>
    <row r="787" spans="66:69" ht="15.75" customHeight="1" x14ac:dyDescent="0.25">
      <c r="BN787" s="6"/>
      <c r="BO787" s="7"/>
      <c r="BP787" s="1"/>
      <c r="BQ787" s="1"/>
    </row>
    <row r="788" spans="66:69" ht="15.75" customHeight="1" x14ac:dyDescent="0.25">
      <c r="BN788" s="6"/>
      <c r="BO788" s="7"/>
      <c r="BP788" s="1"/>
      <c r="BQ788" s="1"/>
    </row>
    <row r="789" spans="66:69" ht="15.75" customHeight="1" x14ac:dyDescent="0.25">
      <c r="BN789" s="6"/>
      <c r="BO789" s="7"/>
      <c r="BP789" s="1"/>
      <c r="BQ789" s="1"/>
    </row>
    <row r="790" spans="66:69" ht="15.75" customHeight="1" x14ac:dyDescent="0.25">
      <c r="BN790" s="6"/>
      <c r="BO790" s="7"/>
      <c r="BP790" s="1"/>
      <c r="BQ790" s="1"/>
    </row>
    <row r="791" spans="66:69" ht="15.75" customHeight="1" x14ac:dyDescent="0.25">
      <c r="BN791" s="6"/>
      <c r="BO791" s="7"/>
      <c r="BP791" s="1"/>
      <c r="BQ791" s="1"/>
    </row>
    <row r="792" spans="66:69" ht="15.75" customHeight="1" x14ac:dyDescent="0.25">
      <c r="BN792" s="6"/>
      <c r="BO792" s="7"/>
      <c r="BP792" s="1"/>
      <c r="BQ792" s="1"/>
    </row>
    <row r="793" spans="66:69" ht="15.75" customHeight="1" x14ac:dyDescent="0.25">
      <c r="BN793" s="6"/>
      <c r="BO793" s="7"/>
      <c r="BP793" s="1"/>
      <c r="BQ793" s="1"/>
    </row>
    <row r="794" spans="66:69" ht="15.75" customHeight="1" x14ac:dyDescent="0.25">
      <c r="BN794" s="6"/>
      <c r="BO794" s="7"/>
      <c r="BP794" s="1"/>
      <c r="BQ794" s="1"/>
    </row>
    <row r="795" spans="66:69" ht="15.75" customHeight="1" x14ac:dyDescent="0.25">
      <c r="BN795" s="6"/>
      <c r="BO795" s="7"/>
      <c r="BP795" s="1"/>
      <c r="BQ795" s="1"/>
    </row>
    <row r="796" spans="66:69" ht="15.75" customHeight="1" x14ac:dyDescent="0.25">
      <c r="BN796" s="6"/>
      <c r="BO796" s="7"/>
      <c r="BP796" s="1"/>
      <c r="BQ796" s="1"/>
    </row>
    <row r="797" spans="66:69" ht="15.75" customHeight="1" x14ac:dyDescent="0.25">
      <c r="BN797" s="6"/>
      <c r="BO797" s="7"/>
      <c r="BP797" s="1"/>
      <c r="BQ797" s="1"/>
    </row>
    <row r="798" spans="66:69" ht="15.75" customHeight="1" x14ac:dyDescent="0.25">
      <c r="BN798" s="6"/>
      <c r="BO798" s="7"/>
      <c r="BP798" s="1"/>
      <c r="BQ798" s="1"/>
    </row>
    <row r="799" spans="66:69" ht="15.75" customHeight="1" x14ac:dyDescent="0.25">
      <c r="BN799" s="6"/>
      <c r="BO799" s="7"/>
      <c r="BP799" s="1"/>
      <c r="BQ799" s="1"/>
    </row>
    <row r="800" spans="66:69" ht="15.75" customHeight="1" x14ac:dyDescent="0.25">
      <c r="BN800" s="6"/>
      <c r="BO800" s="7"/>
      <c r="BP800" s="1"/>
      <c r="BQ800" s="1"/>
    </row>
    <row r="801" spans="66:69" ht="15.75" customHeight="1" x14ac:dyDescent="0.25">
      <c r="BN801" s="6"/>
      <c r="BO801" s="7"/>
      <c r="BP801" s="1"/>
      <c r="BQ801" s="1"/>
    </row>
    <row r="802" spans="66:69" ht="15.75" customHeight="1" x14ac:dyDescent="0.25">
      <c r="BN802" s="6"/>
      <c r="BO802" s="7"/>
      <c r="BP802" s="1"/>
      <c r="BQ802" s="1"/>
    </row>
    <row r="803" spans="66:69" ht="15.75" customHeight="1" x14ac:dyDescent="0.25">
      <c r="BN803" s="6"/>
      <c r="BO803" s="7"/>
      <c r="BP803" s="1"/>
      <c r="BQ803" s="1"/>
    </row>
    <row r="804" spans="66:69" ht="15.75" customHeight="1" x14ac:dyDescent="0.25">
      <c r="BN804" s="6"/>
      <c r="BO804" s="7"/>
      <c r="BP804" s="1"/>
      <c r="BQ804" s="1"/>
    </row>
    <row r="805" spans="66:69" ht="15.75" customHeight="1" x14ac:dyDescent="0.25">
      <c r="BN805" s="6"/>
      <c r="BO805" s="7"/>
      <c r="BP805" s="1"/>
      <c r="BQ805" s="1"/>
    </row>
    <row r="806" spans="66:69" ht="15.75" customHeight="1" x14ac:dyDescent="0.25">
      <c r="BN806" s="6"/>
      <c r="BO806" s="7"/>
      <c r="BP806" s="1"/>
      <c r="BQ806" s="1"/>
    </row>
    <row r="807" spans="66:69" ht="15.75" customHeight="1" x14ac:dyDescent="0.25">
      <c r="BN807" s="6"/>
      <c r="BO807" s="7"/>
      <c r="BP807" s="1"/>
      <c r="BQ807" s="1"/>
    </row>
    <row r="808" spans="66:69" ht="15.75" customHeight="1" x14ac:dyDescent="0.25">
      <c r="BN808" s="6"/>
      <c r="BO808" s="7"/>
      <c r="BP808" s="1"/>
      <c r="BQ808" s="1"/>
    </row>
    <row r="809" spans="66:69" ht="15.75" customHeight="1" x14ac:dyDescent="0.25">
      <c r="BN809" s="6"/>
      <c r="BO809" s="7"/>
      <c r="BP809" s="1"/>
      <c r="BQ809" s="1"/>
    </row>
    <row r="810" spans="66:69" ht="15.75" customHeight="1" x14ac:dyDescent="0.25">
      <c r="BN810" s="6"/>
      <c r="BO810" s="7"/>
      <c r="BP810" s="1"/>
      <c r="BQ810" s="1"/>
    </row>
    <row r="811" spans="66:69" ht="15.75" customHeight="1" x14ac:dyDescent="0.25">
      <c r="BN811" s="6"/>
      <c r="BO811" s="7"/>
      <c r="BP811" s="1"/>
      <c r="BQ811" s="1"/>
    </row>
    <row r="812" spans="66:69" ht="15.75" customHeight="1" x14ac:dyDescent="0.25">
      <c r="BN812" s="6"/>
      <c r="BO812" s="7"/>
      <c r="BP812" s="1"/>
      <c r="BQ812" s="1"/>
    </row>
    <row r="813" spans="66:69" ht="15.75" customHeight="1" x14ac:dyDescent="0.25">
      <c r="BN813" s="6"/>
      <c r="BO813" s="7"/>
      <c r="BP813" s="1"/>
      <c r="BQ813" s="1"/>
    </row>
    <row r="814" spans="66:69" ht="15.75" customHeight="1" x14ac:dyDescent="0.25">
      <c r="BN814" s="6"/>
      <c r="BO814" s="7"/>
      <c r="BP814" s="1"/>
      <c r="BQ814" s="1"/>
    </row>
    <row r="815" spans="66:69" ht="15.75" customHeight="1" x14ac:dyDescent="0.25">
      <c r="BN815" s="6"/>
      <c r="BO815" s="7"/>
      <c r="BP815" s="1"/>
      <c r="BQ815" s="1"/>
    </row>
    <row r="816" spans="66:69" ht="15.75" customHeight="1" x14ac:dyDescent="0.25">
      <c r="BN816" s="6"/>
      <c r="BO816" s="7"/>
      <c r="BP816" s="1"/>
      <c r="BQ816" s="1"/>
    </row>
    <row r="817" spans="66:69" ht="15.75" customHeight="1" x14ac:dyDescent="0.25">
      <c r="BN817" s="6"/>
      <c r="BO817" s="7"/>
      <c r="BP817" s="1"/>
      <c r="BQ817" s="1"/>
    </row>
    <row r="818" spans="66:69" ht="15.75" customHeight="1" x14ac:dyDescent="0.25">
      <c r="BN818" s="6"/>
      <c r="BO818" s="7"/>
      <c r="BP818" s="1"/>
      <c r="BQ818" s="1"/>
    </row>
    <row r="819" spans="66:69" ht="15.75" customHeight="1" x14ac:dyDescent="0.25">
      <c r="BN819" s="6"/>
      <c r="BO819" s="7"/>
      <c r="BP819" s="1"/>
      <c r="BQ819" s="1"/>
    </row>
    <row r="820" spans="66:69" ht="15.75" customHeight="1" x14ac:dyDescent="0.25">
      <c r="BN820" s="6"/>
      <c r="BO820" s="7"/>
      <c r="BP820" s="1"/>
      <c r="BQ820" s="1"/>
    </row>
    <row r="821" spans="66:69" ht="15.75" customHeight="1" x14ac:dyDescent="0.25">
      <c r="BN821" s="6"/>
      <c r="BO821" s="7"/>
      <c r="BP821" s="1"/>
      <c r="BQ821" s="1"/>
    </row>
    <row r="822" spans="66:69" ht="15.75" customHeight="1" x14ac:dyDescent="0.25">
      <c r="BN822" s="6"/>
      <c r="BO822" s="7"/>
      <c r="BP822" s="1"/>
      <c r="BQ822" s="1"/>
    </row>
    <row r="823" spans="66:69" ht="15.75" customHeight="1" x14ac:dyDescent="0.25">
      <c r="BN823" s="6"/>
      <c r="BO823" s="7"/>
      <c r="BP823" s="1"/>
      <c r="BQ823" s="1"/>
    </row>
    <row r="824" spans="66:69" ht="15.75" customHeight="1" x14ac:dyDescent="0.25">
      <c r="BN824" s="6"/>
      <c r="BO824" s="7"/>
      <c r="BP824" s="1"/>
      <c r="BQ824" s="1"/>
    </row>
    <row r="825" spans="66:69" ht="15.75" customHeight="1" x14ac:dyDescent="0.25">
      <c r="BN825" s="6"/>
      <c r="BO825" s="7"/>
      <c r="BP825" s="1"/>
      <c r="BQ825" s="1"/>
    </row>
    <row r="826" spans="66:69" ht="15.75" customHeight="1" x14ac:dyDescent="0.25">
      <c r="BN826" s="6"/>
      <c r="BO826" s="7"/>
      <c r="BP826" s="1"/>
      <c r="BQ826" s="1"/>
    </row>
    <row r="827" spans="66:69" ht="15.75" customHeight="1" x14ac:dyDescent="0.25">
      <c r="BN827" s="6"/>
      <c r="BO827" s="7"/>
      <c r="BP827" s="1"/>
      <c r="BQ827" s="1"/>
    </row>
    <row r="828" spans="66:69" ht="15.75" customHeight="1" x14ac:dyDescent="0.25">
      <c r="BN828" s="6"/>
      <c r="BO828" s="7"/>
      <c r="BP828" s="1"/>
      <c r="BQ828" s="1"/>
    </row>
    <row r="829" spans="66:69" ht="15.75" customHeight="1" x14ac:dyDescent="0.25">
      <c r="BN829" s="6"/>
      <c r="BO829" s="7"/>
      <c r="BP829" s="1"/>
      <c r="BQ829" s="1"/>
    </row>
    <row r="830" spans="66:69" ht="15.75" customHeight="1" x14ac:dyDescent="0.25">
      <c r="BN830" s="6"/>
      <c r="BO830" s="7"/>
      <c r="BP830" s="1"/>
      <c r="BQ830" s="1"/>
    </row>
    <row r="831" spans="66:69" ht="15.75" customHeight="1" x14ac:dyDescent="0.25">
      <c r="BN831" s="6"/>
      <c r="BO831" s="7"/>
      <c r="BP831" s="1"/>
      <c r="BQ831" s="1"/>
    </row>
    <row r="832" spans="66:69" ht="15.75" customHeight="1" x14ac:dyDescent="0.25">
      <c r="BN832" s="6"/>
      <c r="BO832" s="7"/>
      <c r="BP832" s="1"/>
      <c r="BQ832" s="1"/>
    </row>
    <row r="833" spans="66:69" ht="15.75" customHeight="1" x14ac:dyDescent="0.25">
      <c r="BN833" s="6"/>
      <c r="BO833" s="7"/>
      <c r="BP833" s="1"/>
      <c r="BQ833" s="1"/>
    </row>
    <row r="834" spans="66:69" ht="15.75" customHeight="1" x14ac:dyDescent="0.25">
      <c r="BN834" s="6"/>
      <c r="BO834" s="7"/>
      <c r="BP834" s="1"/>
      <c r="BQ834" s="1"/>
    </row>
    <row r="835" spans="66:69" ht="15.75" customHeight="1" x14ac:dyDescent="0.25">
      <c r="BN835" s="6"/>
      <c r="BO835" s="7"/>
      <c r="BP835" s="1"/>
      <c r="BQ835" s="1"/>
    </row>
    <row r="836" spans="66:69" ht="15.75" customHeight="1" x14ac:dyDescent="0.25">
      <c r="BN836" s="6"/>
      <c r="BO836" s="7"/>
      <c r="BP836" s="1"/>
      <c r="BQ836" s="1"/>
    </row>
    <row r="837" spans="66:69" ht="15.75" customHeight="1" x14ac:dyDescent="0.25">
      <c r="BN837" s="6"/>
      <c r="BO837" s="7"/>
      <c r="BP837" s="1"/>
      <c r="BQ837" s="1"/>
    </row>
    <row r="838" spans="66:69" ht="15.75" customHeight="1" x14ac:dyDescent="0.25">
      <c r="BN838" s="6"/>
      <c r="BO838" s="7"/>
      <c r="BP838" s="1"/>
      <c r="BQ838" s="1"/>
    </row>
    <row r="839" spans="66:69" ht="15.75" customHeight="1" x14ac:dyDescent="0.25">
      <c r="BN839" s="6"/>
      <c r="BO839" s="7"/>
      <c r="BP839" s="1"/>
      <c r="BQ839" s="1"/>
    </row>
    <row r="840" spans="66:69" ht="15.75" customHeight="1" x14ac:dyDescent="0.25">
      <c r="BN840" s="6"/>
      <c r="BO840" s="7"/>
      <c r="BP840" s="1"/>
      <c r="BQ840" s="1"/>
    </row>
    <row r="841" spans="66:69" ht="15.75" customHeight="1" x14ac:dyDescent="0.25">
      <c r="BN841" s="6"/>
      <c r="BO841" s="7"/>
      <c r="BP841" s="1"/>
      <c r="BQ841" s="1"/>
    </row>
    <row r="842" spans="66:69" ht="15.75" customHeight="1" x14ac:dyDescent="0.25">
      <c r="BN842" s="6"/>
      <c r="BO842" s="7"/>
      <c r="BP842" s="1"/>
      <c r="BQ842" s="1"/>
    </row>
    <row r="843" spans="66:69" ht="15.75" customHeight="1" x14ac:dyDescent="0.25">
      <c r="BN843" s="6"/>
      <c r="BO843" s="7"/>
      <c r="BP843" s="1"/>
      <c r="BQ843" s="1"/>
    </row>
    <row r="844" spans="66:69" ht="15.75" customHeight="1" x14ac:dyDescent="0.25">
      <c r="BN844" s="6"/>
      <c r="BO844" s="7"/>
      <c r="BP844" s="1"/>
      <c r="BQ844" s="1"/>
    </row>
    <row r="845" spans="66:69" ht="15.75" customHeight="1" x14ac:dyDescent="0.25">
      <c r="BN845" s="6"/>
      <c r="BO845" s="7"/>
      <c r="BP845" s="1"/>
      <c r="BQ845" s="1"/>
    </row>
    <row r="846" spans="66:69" ht="15.75" customHeight="1" x14ac:dyDescent="0.25">
      <c r="BN846" s="6"/>
      <c r="BO846" s="7"/>
      <c r="BP846" s="1"/>
      <c r="BQ846" s="1"/>
    </row>
    <row r="847" spans="66:69" ht="15.75" customHeight="1" x14ac:dyDescent="0.25">
      <c r="BN847" s="6"/>
      <c r="BO847" s="7"/>
      <c r="BP847" s="1"/>
      <c r="BQ847" s="1"/>
    </row>
    <row r="848" spans="66:69" ht="15.75" customHeight="1" x14ac:dyDescent="0.25">
      <c r="BN848" s="6"/>
      <c r="BO848" s="7"/>
      <c r="BP848" s="1"/>
      <c r="BQ848" s="1"/>
    </row>
    <row r="849" spans="66:69" ht="15.75" customHeight="1" x14ac:dyDescent="0.25">
      <c r="BN849" s="6"/>
      <c r="BO849" s="7"/>
      <c r="BP849" s="1"/>
      <c r="BQ849" s="1"/>
    </row>
    <row r="850" spans="66:69" ht="15.75" customHeight="1" x14ac:dyDescent="0.25">
      <c r="BN850" s="6"/>
      <c r="BO850" s="7"/>
      <c r="BP850" s="1"/>
      <c r="BQ850" s="1"/>
    </row>
    <row r="851" spans="66:69" ht="15.75" customHeight="1" x14ac:dyDescent="0.25">
      <c r="BN851" s="6"/>
      <c r="BO851" s="7"/>
      <c r="BP851" s="1"/>
      <c r="BQ851" s="1"/>
    </row>
    <row r="852" spans="66:69" ht="15.75" customHeight="1" x14ac:dyDescent="0.25">
      <c r="BN852" s="6"/>
      <c r="BO852" s="7"/>
      <c r="BP852" s="1"/>
      <c r="BQ852" s="1"/>
    </row>
    <row r="853" spans="66:69" ht="15.75" customHeight="1" x14ac:dyDescent="0.25">
      <c r="BN853" s="6"/>
      <c r="BO853" s="7"/>
      <c r="BP853" s="1"/>
      <c r="BQ853" s="1"/>
    </row>
    <row r="854" spans="66:69" ht="15.75" customHeight="1" x14ac:dyDescent="0.25">
      <c r="BN854" s="6"/>
      <c r="BO854" s="7"/>
      <c r="BP854" s="1"/>
      <c r="BQ854" s="1"/>
    </row>
    <row r="855" spans="66:69" ht="15.75" customHeight="1" x14ac:dyDescent="0.25">
      <c r="BN855" s="6"/>
      <c r="BO855" s="7"/>
      <c r="BP855" s="1"/>
      <c r="BQ855" s="1"/>
    </row>
    <row r="856" spans="66:69" ht="15.75" customHeight="1" x14ac:dyDescent="0.25">
      <c r="BN856" s="6"/>
      <c r="BO856" s="7"/>
      <c r="BP856" s="1"/>
      <c r="BQ856" s="1"/>
    </row>
    <row r="857" spans="66:69" ht="15.75" customHeight="1" x14ac:dyDescent="0.25">
      <c r="BN857" s="6"/>
      <c r="BO857" s="7"/>
      <c r="BP857" s="1"/>
      <c r="BQ857" s="1"/>
    </row>
    <row r="858" spans="66:69" ht="15.75" customHeight="1" x14ac:dyDescent="0.25">
      <c r="BN858" s="6"/>
      <c r="BO858" s="7"/>
      <c r="BP858" s="1"/>
      <c r="BQ858" s="1"/>
    </row>
    <row r="859" spans="66:69" ht="15.75" customHeight="1" x14ac:dyDescent="0.25">
      <c r="BN859" s="6"/>
      <c r="BO859" s="7"/>
      <c r="BP859" s="1"/>
      <c r="BQ859" s="1"/>
    </row>
    <row r="860" spans="66:69" ht="15.75" customHeight="1" x14ac:dyDescent="0.25">
      <c r="BN860" s="6"/>
      <c r="BO860" s="7"/>
      <c r="BP860" s="1"/>
      <c r="BQ860" s="1"/>
    </row>
    <row r="861" spans="66:69" ht="15.75" customHeight="1" x14ac:dyDescent="0.25">
      <c r="BN861" s="6"/>
      <c r="BO861" s="7"/>
      <c r="BP861" s="1"/>
      <c r="BQ861" s="1"/>
    </row>
    <row r="862" spans="66:69" ht="15.75" customHeight="1" x14ac:dyDescent="0.25">
      <c r="BN862" s="6"/>
      <c r="BO862" s="7"/>
      <c r="BP862" s="1"/>
      <c r="BQ862" s="1"/>
    </row>
    <row r="863" spans="66:69" ht="15.75" customHeight="1" x14ac:dyDescent="0.25">
      <c r="BN863" s="6"/>
      <c r="BO863" s="7"/>
      <c r="BP863" s="1"/>
      <c r="BQ863" s="1"/>
    </row>
    <row r="864" spans="66:69" ht="15.75" customHeight="1" x14ac:dyDescent="0.25">
      <c r="BN864" s="6"/>
      <c r="BO864" s="7"/>
      <c r="BP864" s="1"/>
      <c r="BQ864" s="1"/>
    </row>
    <row r="865" spans="66:69" ht="15.75" customHeight="1" x14ac:dyDescent="0.25">
      <c r="BN865" s="6"/>
      <c r="BO865" s="7"/>
      <c r="BP865" s="1"/>
      <c r="BQ865" s="1"/>
    </row>
    <row r="866" spans="66:69" ht="15.75" customHeight="1" x14ac:dyDescent="0.25">
      <c r="BN866" s="6"/>
      <c r="BO866" s="7"/>
      <c r="BP866" s="1"/>
      <c r="BQ866" s="1"/>
    </row>
    <row r="867" spans="66:69" ht="15.75" customHeight="1" x14ac:dyDescent="0.25">
      <c r="BN867" s="6"/>
      <c r="BO867" s="7"/>
      <c r="BP867" s="1"/>
      <c r="BQ867" s="1"/>
    </row>
    <row r="868" spans="66:69" ht="15.75" customHeight="1" x14ac:dyDescent="0.25">
      <c r="BN868" s="6"/>
      <c r="BO868" s="7"/>
      <c r="BP868" s="1"/>
      <c r="BQ868" s="1"/>
    </row>
    <row r="869" spans="66:69" ht="15.75" customHeight="1" x14ac:dyDescent="0.25">
      <c r="BN869" s="6"/>
      <c r="BO869" s="7"/>
      <c r="BP869" s="1"/>
      <c r="BQ869" s="1"/>
    </row>
    <row r="870" spans="66:69" ht="15.75" customHeight="1" x14ac:dyDescent="0.25">
      <c r="BN870" s="6"/>
      <c r="BO870" s="7"/>
      <c r="BP870" s="1"/>
      <c r="BQ870" s="1"/>
    </row>
    <row r="871" spans="66:69" ht="15.75" customHeight="1" x14ac:dyDescent="0.25">
      <c r="BN871" s="6"/>
      <c r="BO871" s="7"/>
      <c r="BP871" s="1"/>
      <c r="BQ871" s="1"/>
    </row>
    <row r="872" spans="66:69" ht="15.75" customHeight="1" x14ac:dyDescent="0.25">
      <c r="BN872" s="6"/>
      <c r="BO872" s="7"/>
      <c r="BP872" s="1"/>
      <c r="BQ872" s="1"/>
    </row>
    <row r="873" spans="66:69" ht="15.75" customHeight="1" x14ac:dyDescent="0.25">
      <c r="BN873" s="6"/>
      <c r="BO873" s="7"/>
      <c r="BP873" s="1"/>
      <c r="BQ873" s="1"/>
    </row>
    <row r="874" spans="66:69" ht="15.75" customHeight="1" x14ac:dyDescent="0.25">
      <c r="BN874" s="6"/>
      <c r="BO874" s="7"/>
      <c r="BP874" s="1"/>
      <c r="BQ874" s="1"/>
    </row>
    <row r="875" spans="66:69" ht="15.75" customHeight="1" x14ac:dyDescent="0.25">
      <c r="BN875" s="6"/>
      <c r="BO875" s="7"/>
      <c r="BP875" s="1"/>
      <c r="BQ875" s="1"/>
    </row>
    <row r="876" spans="66:69" ht="15.75" customHeight="1" x14ac:dyDescent="0.25">
      <c r="BN876" s="6"/>
      <c r="BO876" s="7"/>
      <c r="BP876" s="1"/>
      <c r="BQ876" s="1"/>
    </row>
    <row r="877" spans="66:69" ht="15.75" customHeight="1" x14ac:dyDescent="0.25">
      <c r="BN877" s="6"/>
      <c r="BO877" s="7"/>
      <c r="BP877" s="1"/>
      <c r="BQ877" s="1"/>
    </row>
    <row r="878" spans="66:69" ht="15.75" customHeight="1" x14ac:dyDescent="0.25">
      <c r="BN878" s="6"/>
      <c r="BO878" s="7"/>
      <c r="BP878" s="1"/>
      <c r="BQ878" s="1"/>
    </row>
    <row r="879" spans="66:69" ht="15.75" customHeight="1" x14ac:dyDescent="0.25">
      <c r="BN879" s="6"/>
      <c r="BO879" s="7"/>
      <c r="BP879" s="1"/>
      <c r="BQ879" s="1"/>
    </row>
    <row r="880" spans="66:69" ht="15.75" customHeight="1" x14ac:dyDescent="0.25">
      <c r="BN880" s="6"/>
      <c r="BO880" s="7"/>
      <c r="BP880" s="1"/>
      <c r="BQ880" s="1"/>
    </row>
    <row r="881" spans="66:69" ht="15.75" customHeight="1" x14ac:dyDescent="0.25">
      <c r="BN881" s="6"/>
      <c r="BO881" s="7"/>
      <c r="BP881" s="1"/>
      <c r="BQ881" s="1"/>
    </row>
    <row r="882" spans="66:69" ht="15.75" customHeight="1" x14ac:dyDescent="0.25">
      <c r="BN882" s="6"/>
      <c r="BO882" s="7"/>
      <c r="BP882" s="1"/>
      <c r="BQ882" s="1"/>
    </row>
    <row r="883" spans="66:69" ht="15.75" customHeight="1" x14ac:dyDescent="0.25">
      <c r="BN883" s="6"/>
      <c r="BO883" s="7"/>
      <c r="BP883" s="1"/>
      <c r="BQ883" s="1"/>
    </row>
    <row r="884" spans="66:69" ht="15.75" customHeight="1" x14ac:dyDescent="0.25">
      <c r="BN884" s="6"/>
      <c r="BO884" s="7"/>
      <c r="BP884" s="1"/>
      <c r="BQ884" s="1"/>
    </row>
    <row r="885" spans="66:69" ht="15.75" customHeight="1" x14ac:dyDescent="0.25">
      <c r="BN885" s="6"/>
      <c r="BO885" s="7"/>
      <c r="BP885" s="1"/>
      <c r="BQ885" s="1"/>
    </row>
    <row r="886" spans="66:69" ht="15.75" customHeight="1" x14ac:dyDescent="0.25">
      <c r="BN886" s="6"/>
      <c r="BO886" s="7"/>
      <c r="BP886" s="1"/>
      <c r="BQ886" s="1"/>
    </row>
    <row r="887" spans="66:69" ht="15.75" customHeight="1" x14ac:dyDescent="0.25">
      <c r="BN887" s="6"/>
      <c r="BO887" s="7"/>
      <c r="BP887" s="1"/>
      <c r="BQ887" s="1"/>
    </row>
    <row r="888" spans="66:69" ht="15.75" customHeight="1" x14ac:dyDescent="0.25">
      <c r="BN888" s="6"/>
      <c r="BO888" s="7"/>
      <c r="BP888" s="1"/>
      <c r="BQ888" s="1"/>
    </row>
    <row r="889" spans="66:69" ht="15.75" customHeight="1" x14ac:dyDescent="0.25">
      <c r="BN889" s="6"/>
      <c r="BO889" s="7"/>
      <c r="BP889" s="1"/>
      <c r="BQ889" s="1"/>
    </row>
    <row r="890" spans="66:69" ht="15.75" customHeight="1" x14ac:dyDescent="0.25">
      <c r="BN890" s="6"/>
      <c r="BO890" s="7"/>
      <c r="BP890" s="1"/>
      <c r="BQ890" s="1"/>
    </row>
    <row r="891" spans="66:69" ht="15.75" customHeight="1" x14ac:dyDescent="0.25">
      <c r="BN891" s="6"/>
      <c r="BO891" s="7"/>
      <c r="BP891" s="1"/>
      <c r="BQ891" s="1"/>
    </row>
    <row r="892" spans="66:69" ht="15.75" customHeight="1" x14ac:dyDescent="0.25">
      <c r="BN892" s="6"/>
      <c r="BO892" s="7"/>
      <c r="BP892" s="1"/>
      <c r="BQ892" s="1"/>
    </row>
    <row r="893" spans="66:69" ht="15.75" customHeight="1" x14ac:dyDescent="0.25">
      <c r="BN893" s="6"/>
      <c r="BO893" s="7"/>
      <c r="BP893" s="1"/>
      <c r="BQ893" s="1"/>
    </row>
    <row r="894" spans="66:69" ht="15.75" customHeight="1" x14ac:dyDescent="0.25">
      <c r="BN894" s="6"/>
      <c r="BO894" s="7"/>
      <c r="BP894" s="1"/>
      <c r="BQ894" s="1"/>
    </row>
    <row r="895" spans="66:69" ht="15.75" customHeight="1" x14ac:dyDescent="0.25">
      <c r="BN895" s="6"/>
      <c r="BO895" s="7"/>
      <c r="BP895" s="1"/>
      <c r="BQ895" s="1"/>
    </row>
    <row r="896" spans="66:69" ht="15.75" customHeight="1" x14ac:dyDescent="0.25">
      <c r="BN896" s="6"/>
      <c r="BO896" s="7"/>
      <c r="BP896" s="1"/>
      <c r="BQ896" s="1"/>
    </row>
    <row r="897" spans="66:69" ht="15.75" customHeight="1" x14ac:dyDescent="0.25">
      <c r="BN897" s="6"/>
      <c r="BO897" s="7"/>
      <c r="BP897" s="1"/>
      <c r="BQ897" s="1"/>
    </row>
    <row r="898" spans="66:69" ht="15.75" customHeight="1" x14ac:dyDescent="0.25">
      <c r="BN898" s="6"/>
      <c r="BO898" s="7"/>
      <c r="BP898" s="1"/>
      <c r="BQ898" s="1"/>
    </row>
    <row r="899" spans="66:69" ht="15.75" customHeight="1" x14ac:dyDescent="0.25">
      <c r="BN899" s="6"/>
      <c r="BO899" s="7"/>
      <c r="BP899" s="1"/>
      <c r="BQ899" s="1"/>
    </row>
    <row r="900" spans="66:69" ht="15.75" customHeight="1" x14ac:dyDescent="0.25">
      <c r="BN900" s="6"/>
      <c r="BO900" s="7"/>
      <c r="BP900" s="1"/>
      <c r="BQ900" s="1"/>
    </row>
    <row r="901" spans="66:69" ht="15.75" customHeight="1" x14ac:dyDescent="0.25">
      <c r="BN901" s="6"/>
      <c r="BO901" s="7"/>
      <c r="BP901" s="1"/>
      <c r="BQ901" s="1"/>
    </row>
    <row r="902" spans="66:69" ht="15.75" customHeight="1" x14ac:dyDescent="0.25">
      <c r="BN902" s="6"/>
      <c r="BO902" s="7"/>
      <c r="BP902" s="1"/>
      <c r="BQ902" s="1"/>
    </row>
    <row r="903" spans="66:69" ht="15.75" customHeight="1" x14ac:dyDescent="0.25">
      <c r="BN903" s="6"/>
      <c r="BO903" s="7"/>
      <c r="BP903" s="1"/>
      <c r="BQ903" s="1"/>
    </row>
    <row r="904" spans="66:69" ht="15.75" customHeight="1" x14ac:dyDescent="0.25">
      <c r="BN904" s="6"/>
      <c r="BO904" s="7"/>
      <c r="BP904" s="1"/>
      <c r="BQ904" s="1"/>
    </row>
    <row r="905" spans="66:69" ht="15.75" customHeight="1" x14ac:dyDescent="0.25">
      <c r="BN905" s="6"/>
      <c r="BO905" s="7"/>
      <c r="BP905" s="1"/>
      <c r="BQ905" s="1"/>
    </row>
    <row r="906" spans="66:69" ht="15.75" customHeight="1" x14ac:dyDescent="0.25">
      <c r="BN906" s="6"/>
      <c r="BO906" s="7"/>
      <c r="BP906" s="1"/>
      <c r="BQ906" s="1"/>
    </row>
    <row r="907" spans="66:69" ht="15.75" customHeight="1" x14ac:dyDescent="0.25">
      <c r="BN907" s="6"/>
      <c r="BO907" s="7"/>
      <c r="BP907" s="1"/>
      <c r="BQ907" s="1"/>
    </row>
    <row r="908" spans="66:69" ht="15.75" customHeight="1" x14ac:dyDescent="0.25">
      <c r="BN908" s="6"/>
      <c r="BO908" s="7"/>
      <c r="BP908" s="1"/>
      <c r="BQ908" s="1"/>
    </row>
    <row r="909" spans="66:69" ht="15.75" customHeight="1" x14ac:dyDescent="0.25">
      <c r="BN909" s="6"/>
      <c r="BO909" s="7"/>
      <c r="BP909" s="1"/>
      <c r="BQ909" s="1"/>
    </row>
    <row r="910" spans="66:69" ht="15.75" customHeight="1" x14ac:dyDescent="0.25">
      <c r="BN910" s="6"/>
      <c r="BO910" s="7"/>
      <c r="BP910" s="1"/>
      <c r="BQ910" s="1"/>
    </row>
    <row r="911" spans="66:69" ht="15.75" customHeight="1" x14ac:dyDescent="0.25">
      <c r="BN911" s="6"/>
      <c r="BO911" s="7"/>
      <c r="BP911" s="1"/>
      <c r="BQ911" s="1"/>
    </row>
    <row r="912" spans="66:69" ht="15.75" customHeight="1" x14ac:dyDescent="0.25">
      <c r="BN912" s="6"/>
      <c r="BO912" s="7"/>
      <c r="BP912" s="1"/>
      <c r="BQ912" s="1"/>
    </row>
    <row r="913" spans="66:69" ht="15.75" customHeight="1" x14ac:dyDescent="0.25">
      <c r="BN913" s="6"/>
      <c r="BO913" s="7"/>
      <c r="BP913" s="1"/>
      <c r="BQ913" s="1"/>
    </row>
    <row r="914" spans="66:69" ht="15.75" customHeight="1" x14ac:dyDescent="0.25">
      <c r="BN914" s="6"/>
      <c r="BO914" s="7"/>
      <c r="BP914" s="1"/>
      <c r="BQ914" s="1"/>
    </row>
    <row r="915" spans="66:69" ht="15.75" customHeight="1" x14ac:dyDescent="0.25">
      <c r="BN915" s="6"/>
      <c r="BO915" s="7"/>
      <c r="BP915" s="1"/>
      <c r="BQ915" s="1"/>
    </row>
    <row r="916" spans="66:69" ht="15.75" customHeight="1" x14ac:dyDescent="0.25">
      <c r="BN916" s="6"/>
      <c r="BO916" s="7"/>
      <c r="BP916" s="1"/>
      <c r="BQ916" s="1"/>
    </row>
    <row r="917" spans="66:69" ht="15.75" customHeight="1" x14ac:dyDescent="0.25">
      <c r="BN917" s="6"/>
      <c r="BO917" s="7"/>
      <c r="BP917" s="1"/>
      <c r="BQ917" s="1"/>
    </row>
    <row r="918" spans="66:69" ht="15.75" customHeight="1" x14ac:dyDescent="0.25">
      <c r="BN918" s="6"/>
      <c r="BO918" s="7"/>
      <c r="BP918" s="1"/>
      <c r="BQ918" s="1"/>
    </row>
    <row r="919" spans="66:69" ht="15.75" customHeight="1" x14ac:dyDescent="0.25">
      <c r="BN919" s="6"/>
      <c r="BO919" s="7"/>
      <c r="BP919" s="1"/>
      <c r="BQ919" s="1"/>
    </row>
    <row r="920" spans="66:69" ht="15.75" customHeight="1" x14ac:dyDescent="0.25">
      <c r="BN920" s="6"/>
      <c r="BO920" s="7"/>
      <c r="BP920" s="1"/>
      <c r="BQ920" s="1"/>
    </row>
    <row r="921" spans="66:69" ht="15.75" customHeight="1" x14ac:dyDescent="0.25">
      <c r="BN921" s="6"/>
      <c r="BO921" s="7"/>
      <c r="BP921" s="1"/>
      <c r="BQ921" s="1"/>
    </row>
    <row r="922" spans="66:69" ht="15.75" customHeight="1" x14ac:dyDescent="0.25">
      <c r="BN922" s="6"/>
      <c r="BO922" s="7"/>
      <c r="BP922" s="1"/>
      <c r="BQ922" s="1"/>
    </row>
    <row r="923" spans="66:69" ht="15.75" customHeight="1" x14ac:dyDescent="0.25">
      <c r="BN923" s="6"/>
      <c r="BO923" s="7"/>
      <c r="BP923" s="1"/>
      <c r="BQ923" s="1"/>
    </row>
    <row r="924" spans="66:69" ht="15.75" customHeight="1" x14ac:dyDescent="0.25">
      <c r="BN924" s="6"/>
      <c r="BO924" s="7"/>
      <c r="BP924" s="1"/>
      <c r="BQ924" s="1"/>
    </row>
    <row r="925" spans="66:69" ht="15.75" customHeight="1" x14ac:dyDescent="0.25">
      <c r="BN925" s="6"/>
      <c r="BO925" s="7"/>
      <c r="BP925" s="1"/>
      <c r="BQ925" s="1"/>
    </row>
    <row r="926" spans="66:69" ht="15.75" customHeight="1" x14ac:dyDescent="0.25">
      <c r="BN926" s="6"/>
      <c r="BO926" s="7"/>
      <c r="BP926" s="1"/>
      <c r="BQ926" s="1"/>
    </row>
    <row r="927" spans="66:69" ht="15.75" customHeight="1" x14ac:dyDescent="0.25">
      <c r="BN927" s="6"/>
      <c r="BO927" s="7"/>
      <c r="BP927" s="1"/>
      <c r="BQ927" s="1"/>
    </row>
    <row r="928" spans="66:69" ht="15.75" customHeight="1" x14ac:dyDescent="0.25">
      <c r="BN928" s="6"/>
      <c r="BO928" s="7"/>
      <c r="BP928" s="1"/>
      <c r="BQ928" s="1"/>
    </row>
    <row r="929" spans="66:69" ht="15.75" customHeight="1" x14ac:dyDescent="0.25">
      <c r="BN929" s="6"/>
      <c r="BO929" s="7"/>
      <c r="BP929" s="1"/>
      <c r="BQ929" s="1"/>
    </row>
    <row r="930" spans="66:69" ht="15.75" customHeight="1" x14ac:dyDescent="0.25">
      <c r="BN930" s="6"/>
      <c r="BO930" s="7"/>
      <c r="BP930" s="1"/>
      <c r="BQ930" s="1"/>
    </row>
    <row r="931" spans="66:69" ht="15.75" customHeight="1" x14ac:dyDescent="0.25">
      <c r="BN931" s="6"/>
      <c r="BO931" s="7"/>
      <c r="BP931" s="1"/>
      <c r="BQ931" s="1"/>
    </row>
    <row r="932" spans="66:69" ht="15.75" customHeight="1" x14ac:dyDescent="0.25">
      <c r="BN932" s="6"/>
      <c r="BO932" s="7"/>
      <c r="BP932" s="1"/>
      <c r="BQ932" s="1"/>
    </row>
    <row r="933" spans="66:69" ht="15.75" customHeight="1" x14ac:dyDescent="0.25">
      <c r="BN933" s="6"/>
      <c r="BO933" s="7"/>
      <c r="BP933" s="1"/>
      <c r="BQ933" s="1"/>
    </row>
    <row r="934" spans="66:69" ht="15.75" customHeight="1" x14ac:dyDescent="0.25">
      <c r="BN934" s="6"/>
      <c r="BO934" s="7"/>
      <c r="BP934" s="1"/>
      <c r="BQ934" s="1"/>
    </row>
    <row r="935" spans="66:69" ht="15.75" customHeight="1" x14ac:dyDescent="0.25">
      <c r="BN935" s="6"/>
      <c r="BO935" s="7"/>
      <c r="BP935" s="1"/>
      <c r="BQ935" s="1"/>
    </row>
    <row r="936" spans="66:69" ht="15.75" customHeight="1" x14ac:dyDescent="0.25">
      <c r="BN936" s="6"/>
      <c r="BO936" s="7"/>
      <c r="BP936" s="1"/>
      <c r="BQ936" s="1"/>
    </row>
    <row r="937" spans="66:69" ht="15.75" customHeight="1" x14ac:dyDescent="0.25">
      <c r="BN937" s="6"/>
      <c r="BO937" s="7"/>
      <c r="BP937" s="1"/>
      <c r="BQ937" s="1"/>
    </row>
    <row r="938" spans="66:69" ht="15.75" customHeight="1" x14ac:dyDescent="0.25">
      <c r="BN938" s="6"/>
      <c r="BO938" s="7"/>
      <c r="BP938" s="1"/>
      <c r="BQ938" s="1"/>
    </row>
    <row r="939" spans="66:69" ht="15.75" customHeight="1" x14ac:dyDescent="0.25">
      <c r="BN939" s="6"/>
      <c r="BO939" s="7"/>
      <c r="BP939" s="1"/>
      <c r="BQ939" s="1"/>
    </row>
    <row r="940" spans="66:69" ht="15.75" customHeight="1" x14ac:dyDescent="0.25">
      <c r="BN940" s="6"/>
      <c r="BO940" s="7"/>
      <c r="BP940" s="1"/>
      <c r="BQ940" s="1"/>
    </row>
    <row r="941" spans="66:69" ht="15.75" customHeight="1" x14ac:dyDescent="0.25">
      <c r="BN941" s="6"/>
      <c r="BO941" s="7"/>
      <c r="BP941" s="1"/>
      <c r="BQ941" s="1"/>
    </row>
    <row r="942" spans="66:69" ht="15.75" customHeight="1" x14ac:dyDescent="0.25">
      <c r="BN942" s="6"/>
      <c r="BO942" s="7"/>
      <c r="BP942" s="1"/>
      <c r="BQ942" s="1"/>
    </row>
    <row r="943" spans="66:69" ht="15.75" customHeight="1" x14ac:dyDescent="0.25">
      <c r="BN943" s="6"/>
      <c r="BO943" s="7"/>
      <c r="BP943" s="1"/>
      <c r="BQ943" s="1"/>
    </row>
    <row r="944" spans="66:69" ht="15.75" customHeight="1" x14ac:dyDescent="0.25">
      <c r="BN944" s="6"/>
      <c r="BO944" s="7"/>
      <c r="BP944" s="1"/>
      <c r="BQ944" s="1"/>
    </row>
    <row r="945" spans="66:69" ht="15.75" customHeight="1" x14ac:dyDescent="0.25">
      <c r="BN945" s="6"/>
      <c r="BO945" s="7"/>
      <c r="BP945" s="1"/>
      <c r="BQ945" s="1"/>
    </row>
    <row r="946" spans="66:69" ht="15.75" customHeight="1" x14ac:dyDescent="0.25">
      <c r="BN946" s="6"/>
      <c r="BO946" s="7"/>
      <c r="BP946" s="1"/>
      <c r="BQ946" s="1"/>
    </row>
    <row r="947" spans="66:69" ht="15.75" customHeight="1" x14ac:dyDescent="0.25">
      <c r="BN947" s="6"/>
      <c r="BO947" s="7"/>
      <c r="BP947" s="1"/>
      <c r="BQ947" s="1"/>
    </row>
    <row r="948" spans="66:69" ht="15.75" customHeight="1" x14ac:dyDescent="0.25">
      <c r="BN948" s="6"/>
      <c r="BO948" s="7"/>
      <c r="BP948" s="1"/>
      <c r="BQ948" s="1"/>
    </row>
    <row r="949" spans="66:69" ht="15.75" customHeight="1" x14ac:dyDescent="0.25">
      <c r="BN949" s="6"/>
      <c r="BO949" s="7"/>
      <c r="BP949" s="1"/>
      <c r="BQ949" s="1"/>
    </row>
    <row r="950" spans="66:69" ht="15.75" customHeight="1" x14ac:dyDescent="0.25">
      <c r="BN950" s="6"/>
      <c r="BO950" s="7"/>
      <c r="BP950" s="1"/>
      <c r="BQ950" s="1"/>
    </row>
    <row r="951" spans="66:69" ht="15.75" customHeight="1" x14ac:dyDescent="0.25">
      <c r="BN951" s="6"/>
      <c r="BO951" s="7"/>
      <c r="BP951" s="1"/>
      <c r="BQ951" s="1"/>
    </row>
    <row r="952" spans="66:69" ht="15.75" customHeight="1" x14ac:dyDescent="0.25">
      <c r="BN952" s="6"/>
      <c r="BO952" s="7"/>
      <c r="BP952" s="1"/>
      <c r="BQ952" s="1"/>
    </row>
    <row r="953" spans="66:69" ht="15.75" customHeight="1" x14ac:dyDescent="0.25">
      <c r="BN953" s="6"/>
      <c r="BO953" s="7"/>
      <c r="BP953" s="1"/>
      <c r="BQ953" s="1"/>
    </row>
    <row r="954" spans="66:69" ht="15.75" customHeight="1" x14ac:dyDescent="0.25">
      <c r="BN954" s="6"/>
      <c r="BO954" s="7"/>
      <c r="BP954" s="1"/>
      <c r="BQ954" s="1"/>
    </row>
    <row r="955" spans="66:69" ht="15.75" customHeight="1" x14ac:dyDescent="0.25">
      <c r="BN955" s="6"/>
      <c r="BO955" s="7"/>
      <c r="BP955" s="1"/>
      <c r="BQ955" s="1"/>
    </row>
    <row r="956" spans="66:69" ht="15.75" customHeight="1" x14ac:dyDescent="0.25">
      <c r="BN956" s="6"/>
      <c r="BO956" s="7"/>
      <c r="BP956" s="1"/>
      <c r="BQ956" s="1"/>
    </row>
    <row r="957" spans="66:69" ht="15.75" customHeight="1" x14ac:dyDescent="0.25">
      <c r="BN957" s="6"/>
      <c r="BO957" s="7"/>
      <c r="BP957" s="1"/>
      <c r="BQ957" s="1"/>
    </row>
    <row r="958" spans="66:69" ht="15.75" customHeight="1" x14ac:dyDescent="0.25">
      <c r="BN958" s="6"/>
      <c r="BO958" s="7"/>
      <c r="BP958" s="1"/>
      <c r="BQ958" s="1"/>
    </row>
    <row r="959" spans="66:69" ht="15.75" customHeight="1" x14ac:dyDescent="0.25">
      <c r="BN959" s="6"/>
      <c r="BO959" s="7"/>
      <c r="BP959" s="1"/>
      <c r="BQ959" s="1"/>
    </row>
    <row r="960" spans="66:69" ht="15.75" customHeight="1" x14ac:dyDescent="0.25">
      <c r="BN960" s="6"/>
      <c r="BO960" s="7"/>
      <c r="BP960" s="1"/>
      <c r="BQ960" s="1"/>
    </row>
    <row r="961" spans="66:69" ht="15.75" customHeight="1" x14ac:dyDescent="0.25">
      <c r="BN961" s="6"/>
      <c r="BO961" s="7"/>
      <c r="BP961" s="1"/>
      <c r="BQ961" s="1"/>
    </row>
    <row r="962" spans="66:69" ht="15.75" customHeight="1" x14ac:dyDescent="0.25">
      <c r="BN962" s="6"/>
      <c r="BO962" s="7"/>
      <c r="BP962" s="1"/>
      <c r="BQ962" s="1"/>
    </row>
    <row r="963" spans="66:69" ht="15.75" customHeight="1" x14ac:dyDescent="0.25">
      <c r="BN963" s="6"/>
      <c r="BO963" s="7"/>
      <c r="BP963" s="1"/>
      <c r="BQ963" s="1"/>
    </row>
    <row r="964" spans="66:69" ht="15.75" customHeight="1" x14ac:dyDescent="0.25">
      <c r="BN964" s="6"/>
      <c r="BO964" s="7"/>
      <c r="BP964" s="1"/>
      <c r="BQ964" s="1"/>
    </row>
    <row r="965" spans="66:69" ht="15.75" customHeight="1" x14ac:dyDescent="0.25">
      <c r="BN965" s="6"/>
      <c r="BO965" s="7"/>
      <c r="BP965" s="1"/>
      <c r="BQ965" s="1"/>
    </row>
    <row r="966" spans="66:69" ht="15.75" customHeight="1" x14ac:dyDescent="0.25">
      <c r="BN966" s="6"/>
      <c r="BO966" s="7"/>
      <c r="BP966" s="1"/>
      <c r="BQ966" s="1"/>
    </row>
    <row r="967" spans="66:69" ht="15.75" customHeight="1" x14ac:dyDescent="0.25">
      <c r="BN967" s="6"/>
      <c r="BO967" s="7"/>
      <c r="BP967" s="1"/>
      <c r="BQ967" s="1"/>
    </row>
    <row r="968" spans="66:69" ht="15.75" customHeight="1" x14ac:dyDescent="0.25">
      <c r="BN968" s="6"/>
      <c r="BO968" s="7"/>
      <c r="BP968" s="1"/>
      <c r="BQ968" s="1"/>
    </row>
    <row r="969" spans="66:69" ht="15.75" customHeight="1" x14ac:dyDescent="0.25">
      <c r="BN969" s="6"/>
      <c r="BO969" s="7"/>
      <c r="BP969" s="1"/>
      <c r="BQ969" s="1"/>
    </row>
    <row r="970" spans="66:69" ht="15.75" customHeight="1" x14ac:dyDescent="0.25">
      <c r="BN970" s="6"/>
      <c r="BO970" s="7"/>
      <c r="BP970" s="1"/>
      <c r="BQ970" s="1"/>
    </row>
    <row r="971" spans="66:69" ht="15.75" customHeight="1" x14ac:dyDescent="0.25">
      <c r="BN971" s="6"/>
      <c r="BO971" s="7"/>
      <c r="BP971" s="1"/>
      <c r="BQ971" s="1"/>
    </row>
    <row r="972" spans="66:69" ht="15.75" customHeight="1" x14ac:dyDescent="0.25">
      <c r="BN972" s="6"/>
      <c r="BO972" s="7"/>
      <c r="BP972" s="1"/>
      <c r="BQ972" s="1"/>
    </row>
    <row r="973" spans="66:69" ht="15.75" customHeight="1" x14ac:dyDescent="0.25">
      <c r="BN973" s="6"/>
      <c r="BO973" s="7"/>
      <c r="BP973" s="1"/>
      <c r="BQ973" s="1"/>
    </row>
    <row r="974" spans="66:69" ht="15.75" customHeight="1" x14ac:dyDescent="0.25">
      <c r="BN974" s="6"/>
      <c r="BO974" s="7"/>
      <c r="BP974" s="1"/>
      <c r="BQ974" s="1"/>
    </row>
    <row r="975" spans="66:69" ht="15.75" customHeight="1" x14ac:dyDescent="0.25">
      <c r="BN975" s="6"/>
      <c r="BO975" s="7"/>
      <c r="BP975" s="1"/>
      <c r="BQ975" s="1"/>
    </row>
    <row r="976" spans="66:69" ht="15.75" customHeight="1" x14ac:dyDescent="0.25">
      <c r="BN976" s="6"/>
      <c r="BO976" s="7"/>
      <c r="BP976" s="1"/>
      <c r="BQ976" s="1"/>
    </row>
    <row r="977" spans="66:69" ht="15.75" customHeight="1" x14ac:dyDescent="0.25">
      <c r="BN977" s="6"/>
      <c r="BO977" s="7"/>
      <c r="BP977" s="1"/>
      <c r="BQ977" s="1"/>
    </row>
    <row r="978" spans="66:69" ht="15.75" customHeight="1" x14ac:dyDescent="0.25">
      <c r="BN978" s="6"/>
      <c r="BO978" s="7"/>
      <c r="BP978" s="1"/>
      <c r="BQ978" s="1"/>
    </row>
    <row r="979" spans="66:69" ht="15.75" customHeight="1" x14ac:dyDescent="0.25">
      <c r="BN979" s="6"/>
      <c r="BO979" s="7"/>
      <c r="BP979" s="1"/>
      <c r="BQ979" s="1"/>
    </row>
    <row r="980" spans="66:69" ht="15.75" customHeight="1" x14ac:dyDescent="0.25">
      <c r="BN980" s="6"/>
      <c r="BO980" s="7"/>
      <c r="BP980" s="1"/>
      <c r="BQ980" s="1"/>
    </row>
    <row r="981" spans="66:69" ht="15.75" customHeight="1" x14ac:dyDescent="0.25">
      <c r="BN981" s="6"/>
      <c r="BO981" s="7"/>
      <c r="BP981" s="1"/>
      <c r="BQ981" s="1"/>
    </row>
    <row r="982" spans="66:69" ht="15.75" customHeight="1" x14ac:dyDescent="0.25">
      <c r="BN982" s="6"/>
      <c r="BO982" s="7"/>
      <c r="BP982" s="1"/>
      <c r="BQ982" s="1"/>
    </row>
    <row r="983" spans="66:69" ht="15.75" customHeight="1" x14ac:dyDescent="0.25">
      <c r="BN983" s="6"/>
      <c r="BO983" s="7"/>
      <c r="BP983" s="1"/>
      <c r="BQ983" s="1"/>
    </row>
    <row r="984" spans="66:69" ht="15.75" customHeight="1" x14ac:dyDescent="0.25">
      <c r="BN984" s="6"/>
      <c r="BO984" s="7"/>
      <c r="BP984" s="1"/>
      <c r="BQ984" s="1"/>
    </row>
    <row r="985" spans="66:69" ht="15.75" customHeight="1" x14ac:dyDescent="0.25">
      <c r="BN985" s="6"/>
      <c r="BO985" s="7"/>
      <c r="BP985" s="1"/>
      <c r="BQ985" s="1"/>
    </row>
    <row r="986" spans="66:69" ht="15.75" customHeight="1" x14ac:dyDescent="0.25">
      <c r="BN986" s="6"/>
      <c r="BO986" s="7"/>
      <c r="BP986" s="1"/>
      <c r="BQ986" s="1"/>
    </row>
    <row r="987" spans="66:69" ht="15.75" customHeight="1" x14ac:dyDescent="0.25">
      <c r="BN987" s="6"/>
      <c r="BO987" s="7"/>
      <c r="BP987" s="1"/>
      <c r="BQ987" s="1"/>
    </row>
    <row r="988" spans="66:69" ht="15.75" customHeight="1" x14ac:dyDescent="0.25">
      <c r="BN988" s="6"/>
      <c r="BO988" s="7"/>
      <c r="BP988" s="1"/>
      <c r="BQ988" s="1"/>
    </row>
    <row r="989" spans="66:69" ht="15.75" customHeight="1" x14ac:dyDescent="0.25">
      <c r="BN989" s="6"/>
      <c r="BO989" s="7"/>
      <c r="BP989" s="1"/>
      <c r="BQ989" s="1"/>
    </row>
    <row r="990" spans="66:69" ht="15.75" customHeight="1" x14ac:dyDescent="0.25">
      <c r="BN990" s="6"/>
      <c r="BO990" s="7"/>
      <c r="BP990" s="1"/>
      <c r="BQ990" s="1"/>
    </row>
    <row r="991" spans="66:69" ht="15.75" customHeight="1" x14ac:dyDescent="0.25">
      <c r="BN991" s="6"/>
      <c r="BO991" s="7"/>
      <c r="BP991" s="1"/>
      <c r="BQ991" s="1"/>
    </row>
    <row r="992" spans="66:69" ht="15.75" customHeight="1" x14ac:dyDescent="0.25">
      <c r="BN992" s="6"/>
      <c r="BO992" s="7"/>
      <c r="BP992" s="1"/>
      <c r="BQ992" s="1"/>
    </row>
    <row r="993" spans="66:69" ht="15.75" customHeight="1" x14ac:dyDescent="0.25">
      <c r="BN993" s="6"/>
      <c r="BO993" s="7"/>
      <c r="BP993" s="1"/>
      <c r="BQ993" s="1"/>
    </row>
    <row r="994" spans="66:69" ht="15.75" customHeight="1" x14ac:dyDescent="0.25">
      <c r="BN994" s="6"/>
      <c r="BO994" s="7"/>
      <c r="BP994" s="1"/>
      <c r="BQ994" s="1"/>
    </row>
    <row r="995" spans="66:69" ht="15.75" customHeight="1" x14ac:dyDescent="0.25">
      <c r="BN995" s="6"/>
      <c r="BO995" s="7"/>
      <c r="BP995" s="1"/>
      <c r="BQ995" s="1"/>
    </row>
    <row r="996" spans="66:69" ht="15.75" customHeight="1" x14ac:dyDescent="0.25">
      <c r="BN996" s="6"/>
      <c r="BO996" s="7"/>
      <c r="BP996" s="1"/>
      <c r="BQ996" s="1"/>
    </row>
    <row r="997" spans="66:69" ht="15.75" customHeight="1" x14ac:dyDescent="0.25">
      <c r="BN997" s="6"/>
      <c r="BO997" s="7"/>
      <c r="BP997" s="1"/>
      <c r="BQ997" s="1"/>
    </row>
    <row r="998" spans="66:69" ht="15.75" customHeight="1" x14ac:dyDescent="0.25">
      <c r="BN998" s="6"/>
      <c r="BO998" s="7"/>
      <c r="BP998" s="1"/>
      <c r="BQ998" s="1"/>
    </row>
    <row r="999" spans="66:69" ht="15.75" customHeight="1" x14ac:dyDescent="0.25">
      <c r="BN999" s="6"/>
      <c r="BO999" s="7"/>
      <c r="BP999" s="1"/>
      <c r="BQ999" s="1"/>
    </row>
    <row r="1000" spans="66:69" ht="15.75" customHeight="1" x14ac:dyDescent="0.25">
      <c r="BN1000" s="6"/>
      <c r="BO1000" s="7"/>
      <c r="BP1000" s="1"/>
      <c r="BQ1000" s="1"/>
    </row>
  </sheetData>
  <mergeCells count="5">
    <mergeCell ref="BW1:CH1"/>
    <mergeCell ref="CI1:CT1"/>
    <mergeCell ref="CU1:DF1"/>
    <mergeCell ref="DG1:DH1"/>
    <mergeCell ref="DR1:DT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3">
        <v>2016</v>
      </c>
      <c r="E1" s="108"/>
      <c r="F1" s="109"/>
      <c r="G1" s="86"/>
      <c r="H1" s="86"/>
      <c r="I1" s="86"/>
      <c r="J1" s="87"/>
      <c r="K1" s="86"/>
      <c r="L1" s="86"/>
      <c r="M1" s="86"/>
      <c r="N1" s="86"/>
      <c r="O1" s="87"/>
      <c r="P1" s="103">
        <v>2015</v>
      </c>
      <c r="Q1" s="108"/>
      <c r="R1" s="109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D25" sqref="D25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8">
        <v>2019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9">
        <v>2018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0"/>
      <c r="CK1" s="101">
        <v>2017</v>
      </c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102"/>
      <c r="CW1" s="103"/>
      <c r="CX1" s="104"/>
      <c r="CY1" s="31"/>
      <c r="CZ1" s="31"/>
      <c r="DA1" s="31"/>
      <c r="DB1" s="31"/>
      <c r="DC1" s="31"/>
      <c r="DD1" s="86"/>
      <c r="DE1" s="87"/>
      <c r="DF1" s="87"/>
      <c r="DG1" s="87"/>
      <c r="DH1" s="103">
        <v>2015</v>
      </c>
      <c r="DI1" s="104"/>
      <c r="DJ1" s="105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8">
        <v>2019</v>
      </c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9">
        <v>2018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0"/>
      <c r="BY1" s="101">
        <v>2017</v>
      </c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102"/>
      <c r="CK1" s="103"/>
      <c r="CL1" s="104"/>
      <c r="CM1" s="31"/>
      <c r="CN1" s="31"/>
      <c r="CO1" s="31"/>
      <c r="CP1" s="31"/>
      <c r="CQ1" s="31"/>
      <c r="CR1" s="86"/>
      <c r="CS1" s="87"/>
      <c r="CT1" s="87"/>
      <c r="CU1" s="87"/>
      <c r="CV1" s="103">
        <v>2015</v>
      </c>
      <c r="CW1" s="104"/>
      <c r="CX1" s="105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8">
        <v>2019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9">
        <v>2018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100"/>
      <c r="BM1" s="101">
        <v>2017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102"/>
      <c r="BY1" s="103"/>
      <c r="BZ1" s="104"/>
      <c r="CA1" s="31"/>
      <c r="CB1" s="31"/>
      <c r="CC1" s="31"/>
      <c r="CD1" s="31"/>
      <c r="CE1" s="31"/>
      <c r="CF1" s="86"/>
      <c r="CG1" s="87"/>
      <c r="CH1" s="87"/>
      <c r="CI1" s="87"/>
      <c r="CJ1" s="103">
        <v>2015</v>
      </c>
      <c r="CK1" s="104"/>
      <c r="CL1" s="105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8">
        <v>2019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99">
        <v>2018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1">
        <v>2017</v>
      </c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7"/>
      <c r="BM1" s="104"/>
      <c r="BN1" s="108"/>
      <c r="BO1" s="31"/>
      <c r="BP1" s="31"/>
      <c r="BQ1" s="31"/>
      <c r="BR1" s="31"/>
      <c r="BS1" s="31"/>
      <c r="BT1" s="86"/>
      <c r="BU1" s="87"/>
      <c r="BV1" s="87"/>
      <c r="BW1" s="87"/>
      <c r="BX1" s="103">
        <v>2015</v>
      </c>
      <c r="BY1" s="108"/>
      <c r="BZ1" s="109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99"/>
      <c r="M1" s="106"/>
      <c r="N1" s="106"/>
      <c r="O1" s="106"/>
      <c r="P1" s="106"/>
      <c r="Q1" s="98">
        <v>2019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9">
        <v>2018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7"/>
      <c r="AO1" s="101">
        <v>2017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4"/>
      <c r="BB1" s="108"/>
      <c r="BC1" s="31"/>
      <c r="BD1" s="31"/>
      <c r="BE1" s="31"/>
      <c r="BF1" s="31"/>
      <c r="BG1" s="31"/>
      <c r="BH1" s="86"/>
      <c r="BI1" s="87"/>
      <c r="BJ1" s="87"/>
      <c r="BK1" s="87"/>
      <c r="BL1" s="103">
        <v>2015</v>
      </c>
      <c r="BM1" s="108"/>
      <c r="BN1" s="109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8">
        <v>2019</v>
      </c>
      <c r="E1" s="106"/>
      <c r="F1" s="106"/>
      <c r="G1" s="106"/>
      <c r="H1" s="106"/>
      <c r="I1" s="106"/>
      <c r="J1" s="106"/>
      <c r="K1" s="62"/>
      <c r="L1" s="62"/>
      <c r="M1" s="30"/>
      <c r="N1" s="30"/>
      <c r="O1" s="30"/>
      <c r="P1" s="99">
        <v>2018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1">
        <v>2017</v>
      </c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7"/>
      <c r="AN1" s="104"/>
      <c r="AO1" s="108"/>
      <c r="AP1" s="31"/>
      <c r="AQ1" s="31"/>
      <c r="AR1" s="31"/>
      <c r="AS1" s="31"/>
      <c r="AT1" s="31"/>
      <c r="AU1" s="86"/>
      <c r="AV1" s="87"/>
      <c r="AW1" s="87"/>
      <c r="AX1" s="87"/>
      <c r="AY1" s="103">
        <v>2015</v>
      </c>
      <c r="AZ1" s="108"/>
      <c r="BA1" s="109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99">
        <v>2018</v>
      </c>
      <c r="E1" s="106"/>
      <c r="F1" s="106"/>
      <c r="G1" s="85"/>
      <c r="H1" s="30"/>
      <c r="I1" s="30"/>
      <c r="J1" s="30"/>
      <c r="K1" s="30"/>
      <c r="L1" s="30"/>
      <c r="M1" s="30"/>
      <c r="N1" s="30"/>
      <c r="O1" s="63"/>
      <c r="P1" s="101">
        <v>2017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4"/>
      <c r="AC1" s="108"/>
      <c r="AD1" s="31"/>
      <c r="AE1" s="31"/>
      <c r="AF1" s="31"/>
      <c r="AG1" s="31"/>
      <c r="AH1" s="31"/>
      <c r="AI1" s="86"/>
      <c r="AJ1" s="87"/>
      <c r="AK1" s="87"/>
      <c r="AL1" s="87"/>
      <c r="AM1" s="103">
        <v>2015</v>
      </c>
      <c r="AN1" s="108"/>
      <c r="AO1" s="109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3">
        <v>2016</v>
      </c>
      <c r="Q1" s="108"/>
      <c r="R1" s="108"/>
      <c r="S1" s="31"/>
      <c r="T1" s="31"/>
      <c r="U1" s="31"/>
      <c r="V1" s="31"/>
      <c r="W1" s="31"/>
      <c r="X1" s="86"/>
      <c r="Y1" s="87"/>
      <c r="Z1" s="87"/>
      <c r="AA1" s="87"/>
      <c r="AB1" s="103">
        <v>2015</v>
      </c>
      <c r="AC1" s="108"/>
      <c r="AD1" s="109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2025-11-14T17:50:28Z</dcterms:modified>
  <cp:category/>
  <cp:contentStatus/>
</cp:coreProperties>
</file>