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6\"/>
    </mc:Choice>
  </mc:AlternateContent>
  <xr:revisionPtr revIDLastSave="0" documentId="13_ncr:1_{0A5ADE8A-2FEB-493A-A117-73A69BFFF9DD}" xr6:coauthVersionLast="47" xr6:coauthVersionMax="47" xr10:uidLastSave="{00000000-0000-0000-0000-000000000000}"/>
  <bookViews>
    <workbookView xWindow="15" yWindow="390" windowWidth="28785" windowHeight="15105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3" i="11" l="1"/>
  <c r="E9" i="11"/>
  <c r="E3" i="11" l="1"/>
  <c r="E14" i="11"/>
  <c r="E10" i="11"/>
  <c r="E21" i="11"/>
  <c r="E15" i="11"/>
  <c r="E11" i="11"/>
  <c r="E5" i="11"/>
  <c r="E4" i="11"/>
  <c r="E6" i="11" s="1"/>
  <c r="E7" i="11" s="1"/>
  <c r="E17" i="11" l="1"/>
  <c r="F14" i="11" l="1"/>
  <c r="F13" i="11"/>
  <c r="F10" i="11"/>
  <c r="F9" i="11"/>
  <c r="F3" i="11"/>
  <c r="F21" i="11" l="1"/>
  <c r="F15" i="11"/>
  <c r="F11" i="11"/>
  <c r="F5" i="11"/>
  <c r="G13" i="11"/>
  <c r="G14" i="11"/>
  <c r="G10" i="11"/>
  <c r="G9" i="11"/>
  <c r="G3" i="11"/>
  <c r="G21" i="11" l="1"/>
  <c r="G15" i="11"/>
  <c r="G11" i="11"/>
  <c r="G5" i="11"/>
  <c r="H13" i="11"/>
  <c r="H9" i="11"/>
  <c r="H14" i="11"/>
  <c r="H10" i="11"/>
  <c r="H3" i="11"/>
  <c r="F4" i="11" s="1"/>
  <c r="F6" i="11" s="1"/>
  <c r="F7" i="11" s="1"/>
  <c r="F17" i="11" s="1"/>
  <c r="E3" i="10"/>
  <c r="H21" i="11" l="1"/>
  <c r="H15" i="11"/>
  <c r="H11" i="11"/>
  <c r="H5" i="11"/>
  <c r="I13" i="11"/>
  <c r="I14" i="11"/>
  <c r="I10" i="11"/>
  <c r="I9" i="11"/>
  <c r="I3" i="11"/>
  <c r="G4" i="11" s="1"/>
  <c r="G6" i="11" s="1"/>
  <c r="G7" i="11" s="1"/>
  <c r="G17" i="11" s="1"/>
  <c r="I21" i="11" l="1"/>
  <c r="I15" i="11"/>
  <c r="I11" i="11"/>
  <c r="I5" i="11"/>
  <c r="J14" i="11"/>
  <c r="J13" i="11"/>
  <c r="J10" i="11"/>
  <c r="J9" i="11"/>
  <c r="J3" i="11"/>
  <c r="H4" i="11" s="1"/>
  <c r="H6" i="11" s="1"/>
  <c r="H7" i="11" s="1"/>
  <c r="H17" i="11" s="1"/>
  <c r="J21" i="11" l="1"/>
  <c r="J15" i="11"/>
  <c r="J11" i="11"/>
  <c r="J5" i="11"/>
  <c r="DY21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DY14" i="11"/>
  <c r="DX14" i="11"/>
  <c r="DW14" i="11"/>
  <c r="DV14" i="11"/>
  <c r="DU14" i="11"/>
  <c r="DT14" i="11"/>
  <c r="DS14" i="11"/>
  <c r="DR14" i="11"/>
  <c r="DQ14" i="1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D14" i="11"/>
  <c r="DC14" i="11"/>
  <c r="DB14" i="11"/>
  <c r="DA14" i="11"/>
  <c r="CZ14" i="11"/>
  <c r="CY14" i="11"/>
  <c r="CX14" i="11"/>
  <c r="CW14" i="11"/>
  <c r="CV14" i="11"/>
  <c r="CU14" i="11"/>
  <c r="CU15" i="11" s="1"/>
  <c r="CT14" i="11"/>
  <c r="CT15" i="11" s="1"/>
  <c r="CS14" i="11"/>
  <c r="CS15" i="11" s="1"/>
  <c r="CR14" i="11"/>
  <c r="CR15" i="11" s="1"/>
  <c r="CQ14" i="11"/>
  <c r="CQ15" i="11" s="1"/>
  <c r="CP14" i="11"/>
  <c r="CO14" i="11"/>
  <c r="CN14" i="11"/>
  <c r="CM14" i="11"/>
  <c r="CL14" i="11"/>
  <c r="CK14" i="11"/>
  <c r="CK15" i="11" s="1"/>
  <c r="CJ14" i="11"/>
  <c r="CI14" i="11"/>
  <c r="CH14" i="11"/>
  <c r="CG14" i="11"/>
  <c r="CF14" i="11"/>
  <c r="CE14" i="11"/>
  <c r="CD14" i="11"/>
  <c r="CD15" i="11" s="1"/>
  <c r="CC14" i="11"/>
  <c r="CB14" i="11"/>
  <c r="CA14" i="11"/>
  <c r="BZ14" i="11"/>
  <c r="BY14" i="11"/>
  <c r="BY15" i="11" s="1"/>
  <c r="BX14" i="11"/>
  <c r="BW14" i="11"/>
  <c r="BV14" i="11"/>
  <c r="BU14" i="11"/>
  <c r="BT14" i="11"/>
  <c r="BS14" i="11"/>
  <c r="BR14" i="11"/>
  <c r="BQ14" i="11"/>
  <c r="BP14" i="11"/>
  <c r="BO14" i="11"/>
  <c r="BN14" i="11"/>
  <c r="BM14" i="11"/>
  <c r="BM15" i="11" s="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BA15" i="11" s="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C15" i="11" s="1"/>
  <c r="AB14" i="11"/>
  <c r="AA14" i="11"/>
  <c r="Z14" i="11"/>
  <c r="Y14" i="11"/>
  <c r="X14" i="11"/>
  <c r="W14" i="11"/>
  <c r="V14" i="11"/>
  <c r="U14" i="11"/>
  <c r="T14" i="11"/>
  <c r="S14" i="11"/>
  <c r="R14" i="11"/>
  <c r="Q14" i="11"/>
  <c r="Q15" i="11" s="1"/>
  <c r="P14" i="11"/>
  <c r="O14" i="11"/>
  <c r="N14" i="11"/>
  <c r="M14" i="11"/>
  <c r="L14" i="11"/>
  <c r="K14" i="11"/>
  <c r="DY13" i="11"/>
  <c r="DX13" i="11"/>
  <c r="DW13" i="11"/>
  <c r="DV13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X13" i="11"/>
  <c r="CW13" i="11"/>
  <c r="CV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C13" i="11"/>
  <c r="CC15" i="11" s="1"/>
  <c r="CB13" i="11"/>
  <c r="CA13" i="11"/>
  <c r="BZ13" i="11"/>
  <c r="BY13" i="11"/>
  <c r="BX13" i="11"/>
  <c r="BW13" i="11"/>
  <c r="BV13" i="11"/>
  <c r="BU13" i="11"/>
  <c r="BT13" i="11"/>
  <c r="BS13" i="11"/>
  <c r="BR13" i="11"/>
  <c r="BQ13" i="11"/>
  <c r="BQ15" i="11" s="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E15" i="11" s="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S15" i="11" s="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G15" i="11" s="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U15" i="11" s="1"/>
  <c r="T13" i="11"/>
  <c r="S13" i="11"/>
  <c r="R13" i="11"/>
  <c r="Q13" i="11"/>
  <c r="P13" i="11"/>
  <c r="O13" i="11"/>
  <c r="N13" i="11"/>
  <c r="M13" i="11"/>
  <c r="L13" i="11"/>
  <c r="K13" i="11"/>
  <c r="DM10" i="11"/>
  <c r="DL10" i="11"/>
  <c r="DK10" i="11"/>
  <c r="DJ10" i="11"/>
  <c r="DI10" i="11"/>
  <c r="DH10" i="11"/>
  <c r="DG10" i="11"/>
  <c r="DF10" i="11"/>
  <c r="DE10" i="11"/>
  <c r="DD10" i="11"/>
  <c r="DC10" i="11"/>
  <c r="DB10" i="11"/>
  <c r="DA10" i="11"/>
  <c r="CZ10" i="11"/>
  <c r="CY10" i="11"/>
  <c r="CX10" i="11"/>
  <c r="CW10" i="11"/>
  <c r="CV10" i="11"/>
  <c r="CU10" i="11"/>
  <c r="CU11" i="11" s="1"/>
  <c r="CT10" i="11"/>
  <c r="CT11" i="11" s="1"/>
  <c r="CS10" i="11"/>
  <c r="CS11" i="11" s="1"/>
  <c r="CR10" i="11"/>
  <c r="CR11" i="11" s="1"/>
  <c r="CQ10" i="11"/>
  <c r="CQ11" i="11" s="1"/>
  <c r="CP10" i="11"/>
  <c r="CO10" i="11"/>
  <c r="CN10" i="11"/>
  <c r="CM10" i="11"/>
  <c r="CL10" i="11"/>
  <c r="CK10" i="11"/>
  <c r="CJ10" i="11"/>
  <c r="CI10" i="11"/>
  <c r="CH10" i="11"/>
  <c r="CG10" i="11"/>
  <c r="CF10" i="11"/>
  <c r="CE10" i="11"/>
  <c r="CD10" i="11"/>
  <c r="CC10" i="11"/>
  <c r="CB10" i="11"/>
  <c r="CB11" i="11" s="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DM9" i="11"/>
  <c r="DL9" i="11"/>
  <c r="DK9" i="11"/>
  <c r="DJ9" i="11"/>
  <c r="DI9" i="11"/>
  <c r="DH9" i="11"/>
  <c r="DH11" i="11" s="1"/>
  <c r="DG9" i="11"/>
  <c r="DF9" i="11"/>
  <c r="DE9" i="11"/>
  <c r="DE11" i="11" s="1"/>
  <c r="DD9" i="11"/>
  <c r="DC9" i="11"/>
  <c r="DB9" i="11"/>
  <c r="DA9" i="11"/>
  <c r="CZ9" i="11"/>
  <c r="CY9" i="11"/>
  <c r="CX9" i="11"/>
  <c r="CW9" i="11"/>
  <c r="CV9" i="11"/>
  <c r="CV11" i="11" s="1"/>
  <c r="CP9" i="11"/>
  <c r="CO9" i="11"/>
  <c r="CN9" i="11"/>
  <c r="CM9" i="11"/>
  <c r="CL9" i="11"/>
  <c r="CK9" i="11"/>
  <c r="CJ9" i="11"/>
  <c r="CI9" i="11"/>
  <c r="CH9" i="11"/>
  <c r="CG9" i="11"/>
  <c r="CG11" i="11" s="1"/>
  <c r="CF9" i="11"/>
  <c r="CE9" i="11"/>
  <c r="CD9" i="11"/>
  <c r="CC9" i="11"/>
  <c r="CB9" i="11"/>
  <c r="CA9" i="11"/>
  <c r="BZ9" i="11"/>
  <c r="BY9" i="11"/>
  <c r="BX9" i="11"/>
  <c r="BW9" i="11"/>
  <c r="BV9" i="11"/>
  <c r="BU9" i="11"/>
  <c r="BU11" i="11" s="1"/>
  <c r="BT9" i="11"/>
  <c r="BS9" i="11"/>
  <c r="BR9" i="11"/>
  <c r="BQ9" i="11"/>
  <c r="BP9" i="11"/>
  <c r="BO9" i="11"/>
  <c r="BN9" i="11"/>
  <c r="BM9" i="11"/>
  <c r="BL9" i="11"/>
  <c r="BK9" i="11"/>
  <c r="BJ9" i="11"/>
  <c r="BI9" i="11"/>
  <c r="BI11" i="11" s="1"/>
  <c r="BH9" i="11"/>
  <c r="BG9" i="11"/>
  <c r="BF9" i="11"/>
  <c r="BE9" i="11"/>
  <c r="BD9" i="11"/>
  <c r="BC9" i="11"/>
  <c r="BB9" i="11"/>
  <c r="BA9" i="11"/>
  <c r="AZ9" i="11"/>
  <c r="AY9" i="11"/>
  <c r="AX9" i="11"/>
  <c r="AW9" i="11"/>
  <c r="AW11" i="11" s="1"/>
  <c r="AV9" i="11"/>
  <c r="AU9" i="11"/>
  <c r="AT9" i="11"/>
  <c r="AS9" i="11"/>
  <c r="AR9" i="11"/>
  <c r="AQ9" i="11"/>
  <c r="AP9" i="11"/>
  <c r="AO9" i="11"/>
  <c r="AN9" i="11"/>
  <c r="AM9" i="11"/>
  <c r="AL9" i="11"/>
  <c r="AK9" i="11"/>
  <c r="AK11" i="11" s="1"/>
  <c r="AJ9" i="11"/>
  <c r="AI9" i="11"/>
  <c r="AH9" i="11"/>
  <c r="AG9" i="11"/>
  <c r="AF9" i="11"/>
  <c r="AE9" i="11"/>
  <c r="AD9" i="11"/>
  <c r="AC9" i="11"/>
  <c r="AB9" i="11"/>
  <c r="AA9" i="11"/>
  <c r="Z9" i="11"/>
  <c r="Y9" i="11"/>
  <c r="Y11" i="11" s="1"/>
  <c r="X9" i="11"/>
  <c r="W9" i="11"/>
  <c r="V9" i="11"/>
  <c r="U9" i="11"/>
  <c r="T9" i="11"/>
  <c r="S9" i="11"/>
  <c r="R9" i="11"/>
  <c r="Q9" i="11"/>
  <c r="P9" i="11"/>
  <c r="O9" i="11"/>
  <c r="N9" i="11"/>
  <c r="M9" i="11"/>
  <c r="M11" i="11" s="1"/>
  <c r="L9" i="11"/>
  <c r="K9" i="11"/>
  <c r="V5" i="11"/>
  <c r="U5" i="11"/>
  <c r="T5" i="11"/>
  <c r="S5" i="11"/>
  <c r="R5" i="11"/>
  <c r="Q5" i="11"/>
  <c r="P5" i="11"/>
  <c r="O5" i="11"/>
  <c r="N5" i="11"/>
  <c r="M5" i="11"/>
  <c r="L5" i="11"/>
  <c r="K5" i="11"/>
  <c r="DY4" i="11"/>
  <c r="DY6" i="11" s="1"/>
  <c r="DY7" i="11" s="1"/>
  <c r="DX4" i="11"/>
  <c r="DX6" i="11" s="1"/>
  <c r="DX7" i="11" s="1"/>
  <c r="DW4" i="11"/>
  <c r="DW6" i="11" s="1"/>
  <c r="DW7" i="11" s="1"/>
  <c r="DV4" i="11"/>
  <c r="DV6" i="11" s="1"/>
  <c r="DV7" i="11" s="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J4" i="11"/>
  <c r="DJ6" i="11" s="1"/>
  <c r="DJ7" i="11" s="1"/>
  <c r="DI4" i="11"/>
  <c r="DI6" i="11" s="1"/>
  <c r="DI7" i="11" s="1"/>
  <c r="DH4" i="11"/>
  <c r="DH6" i="11" s="1"/>
  <c r="DH7" i="11" s="1"/>
  <c r="DG4" i="11"/>
  <c r="DG6" i="11" s="1"/>
  <c r="DG7" i="11" s="1"/>
  <c r="DF4" i="11"/>
  <c r="DF6" i="11" s="1"/>
  <c r="DF7" i="11" s="1"/>
  <c r="DB4" i="11"/>
  <c r="DB6" i="11" s="1"/>
  <c r="DB7" i="11" s="1"/>
  <c r="CP4" i="11"/>
  <c r="CP6" i="11" s="1"/>
  <c r="CP7" i="11" s="1"/>
  <c r="CO4" i="11"/>
  <c r="CO6" i="11" s="1"/>
  <c r="CO7" i="11" s="1"/>
  <c r="CN4" i="11"/>
  <c r="CN6" i="11" s="1"/>
  <c r="CN7" i="11" s="1"/>
  <c r="CM4" i="11"/>
  <c r="CM6" i="11" s="1"/>
  <c r="CM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BP4" i="11"/>
  <c r="BP6" i="11" s="1"/>
  <c r="BP7" i="11" s="1"/>
  <c r="BO4" i="11"/>
  <c r="BO6" i="11" s="1"/>
  <c r="BO7" i="11" s="1"/>
  <c r="BN4" i="11"/>
  <c r="BN6" i="11" s="1"/>
  <c r="BN7" i="11" s="1"/>
  <c r="BM4" i="11"/>
  <c r="BM6" i="11" s="1"/>
  <c r="BM7" i="11" s="1"/>
  <c r="BL4" i="11"/>
  <c r="BL6" i="11" s="1"/>
  <c r="BL7" i="11" s="1"/>
  <c r="DE3" i="11"/>
  <c r="DE4" i="11" s="1"/>
  <c r="DE6" i="11" s="1"/>
  <c r="DE7" i="11" s="1"/>
  <c r="DD3" i="11"/>
  <c r="DA3" i="11"/>
  <c r="DA4" i="11" s="1"/>
  <c r="DA6" i="11" s="1"/>
  <c r="DA7" i="11" s="1"/>
  <c r="CT3" i="11"/>
  <c r="BK3" i="11"/>
  <c r="BK4" i="11" s="1"/>
  <c r="BK6" i="11" s="1"/>
  <c r="BK7" i="11" s="1"/>
  <c r="BJ3" i="11"/>
  <c r="BI3" i="11"/>
  <c r="BH3" i="11"/>
  <c r="BG3" i="11"/>
  <c r="BF3" i="11"/>
  <c r="BF4" i="11" s="1"/>
  <c r="BF6" i="11" s="1"/>
  <c r="BF7" i="11" s="1"/>
  <c r="BE3" i="1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O4" i="11" s="1"/>
  <c r="AO6" i="11" s="1"/>
  <c r="AO7" i="11" s="1"/>
  <c r="AN3" i="11"/>
  <c r="AM3" i="11"/>
  <c r="AL3" i="11"/>
  <c r="AK3" i="11"/>
  <c r="AJ3" i="11"/>
  <c r="AI3" i="11"/>
  <c r="AH3" i="11"/>
  <c r="AH4" i="11" s="1"/>
  <c r="AH6" i="11" s="1"/>
  <c r="AH7" i="11" s="1"/>
  <c r="AG3" i="11"/>
  <c r="AF3" i="11"/>
  <c r="AE3" i="11"/>
  <c r="AD3" i="11"/>
  <c r="AC3" i="11"/>
  <c r="AC4" i="11" s="1"/>
  <c r="AC6" i="11" s="1"/>
  <c r="AC7" i="11" s="1"/>
  <c r="AB3" i="11"/>
  <c r="AA3" i="11"/>
  <c r="Z3" i="11"/>
  <c r="Y3" i="11"/>
  <c r="X3" i="11"/>
  <c r="W3" i="11"/>
  <c r="V3" i="11"/>
  <c r="V4" i="11" s="1"/>
  <c r="V6" i="11" s="1"/>
  <c r="V7" i="11" s="1"/>
  <c r="U3" i="11"/>
  <c r="T3" i="11"/>
  <c r="S3" i="11"/>
  <c r="R3" i="11"/>
  <c r="Q3" i="11"/>
  <c r="Q4" i="11" s="1"/>
  <c r="Q6" i="11" s="1"/>
  <c r="Q7" i="11" s="1"/>
  <c r="P3" i="11"/>
  <c r="O3" i="11"/>
  <c r="N3" i="11"/>
  <c r="M3" i="11"/>
  <c r="L3" i="11"/>
  <c r="K3" i="11"/>
  <c r="I4" i="11" s="1"/>
  <c r="I6" i="11" s="1"/>
  <c r="I7" i="11" s="1"/>
  <c r="I17" i="11" s="1"/>
  <c r="E13" i="10"/>
  <c r="E9" i="10"/>
  <c r="E14" i="10"/>
  <c r="E10" i="10"/>
  <c r="CY11" i="11" l="1"/>
  <c r="U4" i="11"/>
  <c r="U6" i="11" s="1"/>
  <c r="U7" i="11" s="1"/>
  <c r="AG4" i="11"/>
  <c r="AG6" i="11" s="1"/>
  <c r="AG7" i="11" s="1"/>
  <c r="BE4" i="11"/>
  <c r="BE6" i="11" s="1"/>
  <c r="BE7" i="11" s="1"/>
  <c r="CX11" i="11"/>
  <c r="DJ11" i="11"/>
  <c r="CZ11" i="11"/>
  <c r="DL11" i="11"/>
  <c r="BA4" i="11"/>
  <c r="BA6" i="11" s="1"/>
  <c r="BA7" i="11" s="1"/>
  <c r="BA17" i="11" s="1"/>
  <c r="Q11" i="11"/>
  <c r="Q17" i="11" s="1"/>
  <c r="AC11" i="11"/>
  <c r="AC17" i="11" s="1"/>
  <c r="AO11" i="11"/>
  <c r="BA11" i="11"/>
  <c r="BM11" i="11"/>
  <c r="BM17" i="11" s="1"/>
  <c r="BY11" i="11"/>
  <c r="BY17" i="11" s="1"/>
  <c r="CK11" i="11"/>
  <c r="CK17" i="11" s="1"/>
  <c r="Z4" i="11"/>
  <c r="Z6" i="11" s="1"/>
  <c r="Z7" i="11" s="1"/>
  <c r="R11" i="11"/>
  <c r="AD11" i="11"/>
  <c r="AP11" i="11"/>
  <c r="BB11" i="11"/>
  <c r="BN11" i="11"/>
  <c r="BZ11" i="11"/>
  <c r="CL11" i="11"/>
  <c r="CF11" i="11"/>
  <c r="S11" i="11"/>
  <c r="AE11" i="11"/>
  <c r="AQ11" i="11"/>
  <c r="BC11" i="11"/>
  <c r="BO11" i="11"/>
  <c r="CA11" i="11"/>
  <c r="CM11" i="11"/>
  <c r="CW11" i="11"/>
  <c r="AS4" i="11"/>
  <c r="AS6" i="11" s="1"/>
  <c r="AS7" i="11" s="1"/>
  <c r="AT4" i="11"/>
  <c r="AT6" i="11" s="1"/>
  <c r="AT7" i="11" s="1"/>
  <c r="DI11" i="11"/>
  <c r="DI17" i="11" s="1"/>
  <c r="P4" i="11"/>
  <c r="P6" i="11" s="1"/>
  <c r="P7" i="11" s="1"/>
  <c r="CT4" i="11"/>
  <c r="CT6" i="11" s="1"/>
  <c r="CT7" i="11" s="1"/>
  <c r="CW15" i="11"/>
  <c r="DI15" i="11"/>
  <c r="DU15" i="11"/>
  <c r="T11" i="11"/>
  <c r="AF11" i="11"/>
  <c r="AR11" i="11"/>
  <c r="BD11" i="11"/>
  <c r="BP11" i="11"/>
  <c r="CN11" i="11"/>
  <c r="CO15" i="11"/>
  <c r="DY15" i="11"/>
  <c r="M4" i="11"/>
  <c r="M6" i="11" s="1"/>
  <c r="M7" i="11" s="1"/>
  <c r="Y4" i="11"/>
  <c r="Y6" i="11" s="1"/>
  <c r="Y7" i="11" s="1"/>
  <c r="L11" i="11"/>
  <c r="K4" i="11"/>
  <c r="J4" i="11"/>
  <c r="J6" i="11" s="1"/>
  <c r="J7" i="11" s="1"/>
  <c r="W4" i="11"/>
  <c r="W6" i="11" s="1"/>
  <c r="W7" i="11" s="1"/>
  <c r="AI4" i="11"/>
  <c r="AI6" i="11" s="1"/>
  <c r="AI7" i="11" s="1"/>
  <c r="AU4" i="11"/>
  <c r="AU6" i="11" s="1"/>
  <c r="AU7" i="11" s="1"/>
  <c r="BG4" i="11"/>
  <c r="BG6" i="11" s="1"/>
  <c r="BG7" i="11" s="1"/>
  <c r="DD11" i="11"/>
  <c r="N4" i="11"/>
  <c r="N6" i="11" s="1"/>
  <c r="N7" i="11" s="1"/>
  <c r="AL4" i="11"/>
  <c r="AL6" i="11" s="1"/>
  <c r="AL7" i="11" s="1"/>
  <c r="AX4" i="11"/>
  <c r="AX6" i="11" s="1"/>
  <c r="AX7" i="11" s="1"/>
  <c r="BJ4" i="11"/>
  <c r="BJ6" i="11" s="1"/>
  <c r="BJ7" i="11" s="1"/>
  <c r="DG11" i="11"/>
  <c r="DA15" i="11"/>
  <c r="DM15" i="11"/>
  <c r="K11" i="11"/>
  <c r="W11" i="11"/>
  <c r="AI11" i="11"/>
  <c r="AU11" i="11"/>
  <c r="BG11" i="11"/>
  <c r="BS11" i="11"/>
  <c r="CE11" i="11"/>
  <c r="X11" i="11"/>
  <c r="AJ11" i="11"/>
  <c r="AV11" i="11"/>
  <c r="BH11" i="11"/>
  <c r="BT11" i="11"/>
  <c r="K15" i="11"/>
  <c r="W15" i="11"/>
  <c r="W17" i="11" s="1"/>
  <c r="AI15" i="11"/>
  <c r="AU15" i="11"/>
  <c r="BG15" i="11"/>
  <c r="BS15" i="11"/>
  <c r="CE15" i="11"/>
  <c r="CE17" i="11" s="1"/>
  <c r="DC15" i="11"/>
  <c r="DO15" i="11"/>
  <c r="DO17" i="11" s="1"/>
  <c r="AO15" i="11"/>
  <c r="L15" i="11"/>
  <c r="X15" i="11"/>
  <c r="AJ15" i="11"/>
  <c r="AV15" i="11"/>
  <c r="BH15" i="11"/>
  <c r="BT15" i="11"/>
  <c r="BT17" i="11" s="1"/>
  <c r="CF15" i="11"/>
  <c r="DD15" i="11"/>
  <c r="DP15" i="11"/>
  <c r="DP17" i="11" s="1"/>
  <c r="DC11" i="11"/>
  <c r="N11" i="11"/>
  <c r="Z11" i="11"/>
  <c r="AL11" i="11"/>
  <c r="AX11" i="11"/>
  <c r="BJ11" i="11"/>
  <c r="BV11" i="11"/>
  <c r="CH11" i="11"/>
  <c r="DK11" i="11"/>
  <c r="M15" i="11"/>
  <c r="Y15" i="11"/>
  <c r="AK15" i="11"/>
  <c r="AW15" i="11"/>
  <c r="O11" i="11"/>
  <c r="AM11" i="11"/>
  <c r="AY11" i="11"/>
  <c r="BK11" i="11"/>
  <c r="BW11" i="11"/>
  <c r="CI11" i="11"/>
  <c r="DF11" i="11"/>
  <c r="AA11" i="11"/>
  <c r="P11" i="11"/>
  <c r="AB11" i="11"/>
  <c r="AN11" i="11"/>
  <c r="AZ11" i="11"/>
  <c r="BL11" i="11"/>
  <c r="BX11" i="11"/>
  <c r="CJ11" i="11"/>
  <c r="J17" i="11"/>
  <c r="DA11" i="11"/>
  <c r="DM11" i="11"/>
  <c r="DB11" i="11"/>
  <c r="BI15" i="11"/>
  <c r="BU15" i="11"/>
  <c r="BU17" i="11" s="1"/>
  <c r="CG15" i="11"/>
  <c r="CG17" i="11" s="1"/>
  <c r="DE15" i="11"/>
  <c r="DE17" i="11" s="1"/>
  <c r="DQ15" i="11"/>
  <c r="DQ17" i="11" s="1"/>
  <c r="L4" i="11"/>
  <c r="L6" i="11" s="1"/>
  <c r="L7" i="11" s="1"/>
  <c r="X4" i="11"/>
  <c r="X6" i="11" s="1"/>
  <c r="X7" i="11" s="1"/>
  <c r="AJ4" i="11"/>
  <c r="AJ6" i="11" s="1"/>
  <c r="AJ7" i="11" s="1"/>
  <c r="AV4" i="11"/>
  <c r="AV6" i="11" s="1"/>
  <c r="AV7" i="11" s="1"/>
  <c r="BH4" i="11"/>
  <c r="BH6" i="11" s="1"/>
  <c r="BH7" i="11" s="1"/>
  <c r="N15" i="11"/>
  <c r="Z15" i="11"/>
  <c r="Z17" i="11" s="1"/>
  <c r="AL15" i="11"/>
  <c r="AX15" i="11"/>
  <c r="BJ15" i="11"/>
  <c r="BV15" i="11"/>
  <c r="CH15" i="11"/>
  <c r="DF15" i="11"/>
  <c r="DR15" i="11"/>
  <c r="DR17" i="11" s="1"/>
  <c r="AK4" i="11"/>
  <c r="AK6" i="11" s="1"/>
  <c r="AK7" i="11" s="1"/>
  <c r="AW4" i="11"/>
  <c r="AW6" i="11" s="1"/>
  <c r="AW7" i="11" s="1"/>
  <c r="BI4" i="11"/>
  <c r="BI6" i="11" s="1"/>
  <c r="BI7" i="11" s="1"/>
  <c r="O15" i="11"/>
  <c r="AA15" i="11"/>
  <c r="AM15" i="11"/>
  <c r="AY15" i="11"/>
  <c r="BK15" i="11"/>
  <c r="BW15" i="11"/>
  <c r="CI15" i="11"/>
  <c r="DG15" i="11"/>
  <c r="DG17" i="11" s="1"/>
  <c r="DS15" i="11"/>
  <c r="DS17" i="11" s="1"/>
  <c r="P15" i="11"/>
  <c r="AB15" i="11"/>
  <c r="AN15" i="11"/>
  <c r="AZ15" i="11"/>
  <c r="BL15" i="11"/>
  <c r="BX15" i="11"/>
  <c r="CJ15" i="11"/>
  <c r="CV15" i="11"/>
  <c r="DH15" i="11"/>
  <c r="DH17" i="11" s="1"/>
  <c r="DT15" i="11"/>
  <c r="DT17" i="11" s="1"/>
  <c r="K6" i="11"/>
  <c r="K7" i="11" s="1"/>
  <c r="O4" i="11"/>
  <c r="O6" i="11" s="1"/>
  <c r="O7" i="11" s="1"/>
  <c r="AA4" i="11"/>
  <c r="AA6" i="11" s="1"/>
  <c r="AA7" i="11" s="1"/>
  <c r="AM4" i="11"/>
  <c r="AM6" i="11" s="1"/>
  <c r="AM7" i="11" s="1"/>
  <c r="AY4" i="11"/>
  <c r="AY6" i="11" s="1"/>
  <c r="AY7" i="11" s="1"/>
  <c r="U11" i="11"/>
  <c r="U17" i="11" s="1"/>
  <c r="AG11" i="11"/>
  <c r="AG17" i="11" s="1"/>
  <c r="AS11" i="11"/>
  <c r="BE11" i="11"/>
  <c r="BE17" i="11" s="1"/>
  <c r="BQ11" i="11"/>
  <c r="BQ17" i="11" s="1"/>
  <c r="CC11" i="11"/>
  <c r="CC17" i="11" s="1"/>
  <c r="CO11" i="11"/>
  <c r="AB4" i="11"/>
  <c r="AB6" i="11" s="1"/>
  <c r="AB7" i="11" s="1"/>
  <c r="AN4" i="11"/>
  <c r="AN6" i="11" s="1"/>
  <c r="AN7" i="11" s="1"/>
  <c r="AZ4" i="11"/>
  <c r="AZ6" i="11" s="1"/>
  <c r="AZ7" i="11" s="1"/>
  <c r="CR4" i="11"/>
  <c r="CR6" i="11" s="1"/>
  <c r="CR7" i="11" s="1"/>
  <c r="CR17" i="11" s="1"/>
  <c r="V11" i="11"/>
  <c r="AH11" i="11"/>
  <c r="AT11" i="11"/>
  <c r="BF11" i="11"/>
  <c r="BR11" i="11"/>
  <c r="CD11" i="11"/>
  <c r="CD17" i="11" s="1"/>
  <c r="CP11" i="11"/>
  <c r="R15" i="11"/>
  <c r="AD15" i="11"/>
  <c r="AP15" i="11"/>
  <c r="BB15" i="11"/>
  <c r="BN15" i="11"/>
  <c r="BZ15" i="11"/>
  <c r="BZ17" i="11" s="1"/>
  <c r="CL15" i="11"/>
  <c r="CX15" i="11"/>
  <c r="DJ15" i="11"/>
  <c r="DJ17" i="11" s="1"/>
  <c r="DV15" i="11"/>
  <c r="DV17" i="11" s="1"/>
  <c r="S15" i="11"/>
  <c r="AE15" i="11"/>
  <c r="AQ15" i="11"/>
  <c r="BC15" i="11"/>
  <c r="BO15" i="11"/>
  <c r="BO17" i="11" s="1"/>
  <c r="CA15" i="11"/>
  <c r="CA17" i="11" s="1"/>
  <c r="CM15" i="11"/>
  <c r="CM17" i="11" s="1"/>
  <c r="CY15" i="11"/>
  <c r="DK15" i="11"/>
  <c r="DW15" i="11"/>
  <c r="DW17" i="11" s="1"/>
  <c r="R4" i="11"/>
  <c r="R6" i="11" s="1"/>
  <c r="R7" i="11" s="1"/>
  <c r="AD4" i="11"/>
  <c r="AD6" i="11" s="1"/>
  <c r="AD7" i="11" s="1"/>
  <c r="AP4" i="11"/>
  <c r="AP6" i="11" s="1"/>
  <c r="AP7" i="11" s="1"/>
  <c r="BB4" i="11"/>
  <c r="BB6" i="11" s="1"/>
  <c r="BB7" i="11" s="1"/>
  <c r="DD4" i="11"/>
  <c r="DD6" i="11" s="1"/>
  <c r="DD7" i="11" s="1"/>
  <c r="T15" i="11"/>
  <c r="AF15" i="11"/>
  <c r="AR15" i="11"/>
  <c r="BD15" i="11"/>
  <c r="BP15" i="11"/>
  <c r="CB15" i="11"/>
  <c r="CB17" i="11" s="1"/>
  <c r="CN15" i="11"/>
  <c r="CZ15" i="11"/>
  <c r="DL15" i="11"/>
  <c r="DL17" i="11" s="1"/>
  <c r="DX15" i="11"/>
  <c r="DX17" i="11" s="1"/>
  <c r="S4" i="11"/>
  <c r="S6" i="11" s="1"/>
  <c r="S7" i="11" s="1"/>
  <c r="AE4" i="11"/>
  <c r="AE6" i="11" s="1"/>
  <c r="AE7" i="11" s="1"/>
  <c r="AE17" i="11" s="1"/>
  <c r="AQ4" i="11"/>
  <c r="AQ6" i="11" s="1"/>
  <c r="AQ7" i="11" s="1"/>
  <c r="BC4" i="11"/>
  <c r="BC6" i="11" s="1"/>
  <c r="BC7" i="11" s="1"/>
  <c r="T4" i="11"/>
  <c r="T6" i="11" s="1"/>
  <c r="T7" i="11" s="1"/>
  <c r="AF4" i="11"/>
  <c r="AF6" i="11" s="1"/>
  <c r="AF7" i="11" s="1"/>
  <c r="AR4" i="11"/>
  <c r="AR6" i="11" s="1"/>
  <c r="AR7" i="11" s="1"/>
  <c r="BD4" i="11"/>
  <c r="BD6" i="11" s="1"/>
  <c r="BD7" i="11" s="1"/>
  <c r="V15" i="11"/>
  <c r="AH15" i="11"/>
  <c r="AT15" i="11"/>
  <c r="BF15" i="11"/>
  <c r="BF17" i="11" s="1"/>
  <c r="BR15" i="11"/>
  <c r="CP15" i="11"/>
  <c r="CP17" i="11" s="1"/>
  <c r="DB15" i="11"/>
  <c r="DN15" i="11"/>
  <c r="DN17" i="11" s="1"/>
  <c r="DY17" i="11"/>
  <c r="CT17" i="11"/>
  <c r="DM17" i="11"/>
  <c r="DU17" i="11"/>
  <c r="CS4" i="11"/>
  <c r="CS6" i="11" s="1"/>
  <c r="CS7" i="11" s="1"/>
  <c r="CS17" i="11" s="1"/>
  <c r="CU4" i="11"/>
  <c r="CU6" i="11" s="1"/>
  <c r="CU7" i="11" s="1"/>
  <c r="CU17" i="11" s="1"/>
  <c r="CV4" i="11"/>
  <c r="CV6" i="11" s="1"/>
  <c r="CV7" i="11" s="1"/>
  <c r="CW4" i="11"/>
  <c r="CW6" i="11" s="1"/>
  <c r="CW7" i="11" s="1"/>
  <c r="CX4" i="11"/>
  <c r="CX6" i="11" s="1"/>
  <c r="CX7" i="11" s="1"/>
  <c r="CY4" i="11"/>
  <c r="CY6" i="11" s="1"/>
  <c r="CY7" i="11" s="1"/>
  <c r="CZ4" i="11"/>
  <c r="CZ6" i="11" s="1"/>
  <c r="CZ7" i="11" s="1"/>
  <c r="CQ4" i="11"/>
  <c r="CQ6" i="11" s="1"/>
  <c r="CQ7" i="11" s="1"/>
  <c r="CQ17" i="11" s="1"/>
  <c r="DC4" i="11"/>
  <c r="DC6" i="11" s="1"/>
  <c r="DC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CJ17" i="11" l="1"/>
  <c r="DA17" i="11"/>
  <c r="L17" i="11"/>
  <c r="BP17" i="11"/>
  <c r="CF17" i="11"/>
  <c r="AS17" i="11"/>
  <c r="BN17" i="11"/>
  <c r="CN17" i="11"/>
  <c r="CL17" i="11"/>
  <c r="CO17" i="11"/>
  <c r="BR17" i="11"/>
  <c r="Y17" i="11"/>
  <c r="M17" i="11"/>
  <c r="BG17" i="11"/>
  <c r="BL17" i="11"/>
  <c r="O17" i="11"/>
  <c r="AA17" i="11"/>
  <c r="AU17" i="11"/>
  <c r="N17" i="11"/>
  <c r="CI17" i="11"/>
  <c r="CV17" i="11"/>
  <c r="CY17" i="11"/>
  <c r="AY17" i="11"/>
  <c r="BI17" i="11"/>
  <c r="AV17" i="11"/>
  <c r="BK17" i="11"/>
  <c r="CW17" i="11"/>
  <c r="BB17" i="11"/>
  <c r="AP17" i="11"/>
  <c r="AO17" i="11"/>
  <c r="AD17" i="11"/>
  <c r="DK17" i="11"/>
  <c r="V17" i="11"/>
  <c r="BH17" i="11"/>
  <c r="AI17" i="11"/>
  <c r="CX17" i="11"/>
  <c r="DF17" i="11"/>
  <c r="K17" i="11"/>
  <c r="BW17" i="11"/>
  <c r="DD17" i="11"/>
  <c r="DB17" i="11"/>
  <c r="CZ17" i="11"/>
  <c r="BX17" i="11"/>
  <c r="AM17" i="11"/>
  <c r="AL17" i="11"/>
  <c r="AR17" i="11"/>
  <c r="AZ17" i="11"/>
  <c r="P17" i="11"/>
  <c r="AK17" i="11"/>
  <c r="AJ17" i="11"/>
  <c r="X17" i="11"/>
  <c r="AW17" i="11"/>
  <c r="BC17" i="11"/>
  <c r="R17" i="11"/>
  <c r="CH17" i="11"/>
  <c r="BV17" i="11"/>
  <c r="BD17" i="11"/>
  <c r="AB17" i="11"/>
  <c r="BS17" i="11"/>
  <c r="AF17" i="11"/>
  <c r="T17" i="11"/>
  <c r="AQ17" i="11"/>
  <c r="AT17" i="11"/>
  <c r="S17" i="11"/>
  <c r="BJ17" i="11"/>
  <c r="AN17" i="11"/>
  <c r="DC17" i="11"/>
  <c r="AH17" i="11"/>
  <c r="AX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<sst xmlns="http://schemas.openxmlformats.org/spreadsheetml/2006/main" count="1152" uniqueCount="62">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</sst>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44" fontId="1" fillId="0" borderId="32" xfId="0" applyNumberFormat="1" applyFont="1" applyBorder="1"/>
    <xf numFmtId="0" fontId="0" fillId="0" borderId="28" xfId="0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ED1000"/>
  <sheetViews>
    <sheetView tabSelected="1" topLeftCell="B1" workbookViewId="0">
      <selection sqref="A1:A1048576"/>
    </sheetView>
  </sheetViews>
  <sheetFormatPr defaultColWidth="12.625" defaultRowHeight="15" customHeight="1" x14ac:dyDescent="0.2"/>
  <cols>
    <col min="1" max="1" width="43.75" hidden="1" customWidth="1"/>
    <col min="2" max="3" width="8" customWidth="1"/>
    <col min="4" max="4" width="45.625" customWidth="1"/>
    <col min="5" max="7" width="14.75" customWidth="1"/>
    <col min="8" max="15" width="14.75" hidden="1" customWidth="1"/>
    <col min="16" max="16" width="14.25" hidden="1" customWidth="1"/>
    <col min="17" max="19" width="14.25" customWidth="1"/>
    <col min="20" max="59" width="14.25" hidden="1" customWidth="1"/>
    <col min="60" max="62" width="17.75" hidden="1" customWidth="1"/>
    <col min="63" max="64" width="15.25" hidden="1" customWidth="1"/>
    <col min="65" max="89" width="13.25" hidden="1" customWidth="1"/>
    <col min="90" max="90" width="13.625" hidden="1" customWidth="1"/>
    <col min="91" max="91" width="13.25" hidden="1" customWidth="1"/>
    <col min="92" max="92" width="13.375" hidden="1" customWidth="1"/>
    <col min="93" max="99" width="13.25" hidden="1" customWidth="1"/>
    <col min="100" max="101" width="12.875" hidden="1" customWidth="1"/>
    <col min="102" max="102" width="14.25" hidden="1" customWidth="1"/>
    <col min="103" max="104" width="12.875" hidden="1" customWidth="1"/>
    <col min="105" max="106" width="15.5" hidden="1" customWidth="1"/>
    <col min="107" max="112" width="13.75" hidden="1" customWidth="1"/>
    <col min="113" max="113" width="13" hidden="1" customWidth="1"/>
    <col min="114" max="115" width="13.25" hidden="1" customWidth="1"/>
    <col min="116" max="116" width="12" hidden="1" customWidth="1"/>
    <col min="117" max="117" width="9.5" hidden="1" customWidth="1"/>
    <col min="118" max="119" width="12.875" hidden="1" customWidth="1"/>
    <col min="120" max="120" width="10.5" hidden="1" customWidth="1"/>
    <col min="121" max="125" width="11.875" hidden="1" customWidth="1"/>
    <col min="126" max="126" width="12.5" hidden="1" customWidth="1"/>
    <col min="127" max="129" width="9.75" hidden="1" customWidth="1"/>
    <col min="130" max="131" width="7.75" customWidth="1"/>
    <col min="132" max="134" width="8" customWidth="1"/>
  </cols>
  <sheetData>
    <row r="1" spans="1:134" ht="15.75" thickBot="1" x14ac:dyDescent="0.3">
      <c r="A1" s="1" t="s">
        <v>0</v>
      </c>
      <c r="B1" s="1" t="s">
        <v>1</v>
      </c>
      <c r="E1" s="2"/>
      <c r="F1" s="2">
        <v>2025</v>
      </c>
      <c r="K1" s="2"/>
      <c r="Q1" s="98"/>
      <c r="R1" s="73">
        <v>2024</v>
      </c>
      <c r="W1" s="73"/>
      <c r="AC1" s="17"/>
      <c r="AI1" s="79"/>
      <c r="AJ1" s="73"/>
      <c r="AL1" s="17"/>
      <c r="AO1" s="17"/>
      <c r="AU1" s="72"/>
      <c r="AZ1" s="67"/>
      <c r="BB1" s="17"/>
      <c r="BC1" s="69"/>
      <c r="BG1" s="67">
        <v>2020</v>
      </c>
      <c r="BH1" s="13">
        <v>2020</v>
      </c>
      <c r="BL1" s="3"/>
      <c r="BM1" s="1"/>
      <c r="BP1" s="85"/>
      <c r="BR1" s="30"/>
      <c r="BS1" s="99">
        <v>2019</v>
      </c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100">
        <v>2018</v>
      </c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1"/>
      <c r="CQ1" s="102">
        <v>2017</v>
      </c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103"/>
      <c r="DC1" s="104"/>
      <c r="DD1" s="105"/>
      <c r="DE1" s="31"/>
      <c r="DF1" s="31"/>
      <c r="DG1" s="31"/>
      <c r="DH1" s="31"/>
      <c r="DI1" s="31"/>
      <c r="DJ1" s="86"/>
      <c r="DK1" s="87"/>
      <c r="DL1" s="87"/>
      <c r="DM1" s="87"/>
      <c r="DN1" s="104">
        <v>2015</v>
      </c>
      <c r="DO1" s="105"/>
      <c r="DP1" s="106"/>
      <c r="DQ1" s="86"/>
      <c r="DR1" s="32"/>
      <c r="DS1" s="87"/>
      <c r="DT1" s="87"/>
      <c r="DU1" s="86"/>
      <c r="DV1" s="86"/>
      <c r="DW1" s="86"/>
      <c r="DX1" s="86"/>
      <c r="DY1" s="87"/>
    </row>
    <row r="2" spans="1:134" x14ac:dyDescent="0.25"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2</v>
      </c>
      <c r="P2" s="4" t="s">
        <v>3</v>
      </c>
      <c r="Q2" s="88" t="s">
        <v>4</v>
      </c>
      <c r="R2" s="81" t="s">
        <v>5</v>
      </c>
      <c r="S2" s="81" t="s">
        <v>6</v>
      </c>
      <c r="T2" s="81" t="s">
        <v>7</v>
      </c>
      <c r="U2" s="81" t="s">
        <v>8</v>
      </c>
      <c r="V2" s="81" t="s">
        <v>9</v>
      </c>
      <c r="W2" s="81" t="s">
        <v>10</v>
      </c>
      <c r="X2" s="81" t="s">
        <v>11</v>
      </c>
      <c r="Y2" s="81" t="s">
        <v>12</v>
      </c>
      <c r="Z2" s="81" t="s">
        <v>13</v>
      </c>
      <c r="AA2" s="81" t="s">
        <v>2</v>
      </c>
      <c r="AB2" s="4" t="s">
        <v>3</v>
      </c>
      <c r="AC2" s="81" t="s">
        <v>4</v>
      </c>
      <c r="AD2" s="81" t="s">
        <v>5</v>
      </c>
      <c r="AE2" s="81" t="s">
        <v>6</v>
      </c>
      <c r="AF2" s="4" t="s">
        <v>7</v>
      </c>
      <c r="AG2" s="4" t="s">
        <v>8</v>
      </c>
      <c r="AH2" s="4" t="s">
        <v>9</v>
      </c>
      <c r="AI2" s="4" t="s">
        <v>10</v>
      </c>
      <c r="AJ2" s="4" t="s">
        <v>11</v>
      </c>
      <c r="AK2" s="4" t="s">
        <v>12</v>
      </c>
      <c r="AL2" s="4" t="s">
        <v>13</v>
      </c>
      <c r="AM2" s="4" t="s">
        <v>2</v>
      </c>
      <c r="AN2" s="4" t="s">
        <v>14</v>
      </c>
      <c r="AO2" s="4" t="s">
        <v>15</v>
      </c>
      <c r="AP2" s="4" t="s">
        <v>5</v>
      </c>
      <c r="AQ2" s="4" t="s">
        <v>6</v>
      </c>
      <c r="AR2" s="4" t="s">
        <v>7</v>
      </c>
      <c r="AS2" s="4" t="s">
        <v>8</v>
      </c>
      <c r="AT2" s="4" t="s">
        <v>9</v>
      </c>
      <c r="AU2" s="4" t="s">
        <v>10</v>
      </c>
      <c r="AV2" s="4" t="s">
        <v>11</v>
      </c>
      <c r="AW2" s="4" t="s">
        <v>12</v>
      </c>
      <c r="AX2" s="4" t="s">
        <v>13</v>
      </c>
      <c r="AY2" s="4" t="s">
        <v>2</v>
      </c>
      <c r="AZ2" s="5" t="s">
        <v>14</v>
      </c>
      <c r="BA2" s="5" t="s">
        <v>15</v>
      </c>
      <c r="BB2" s="5" t="s">
        <v>5</v>
      </c>
      <c r="BC2" s="68" t="s">
        <v>16</v>
      </c>
      <c r="BD2" s="5" t="s">
        <v>17</v>
      </c>
      <c r="BE2" s="5" t="s">
        <v>18</v>
      </c>
      <c r="BF2" s="5" t="s">
        <v>19</v>
      </c>
      <c r="BG2" s="5" t="s">
        <v>20</v>
      </c>
      <c r="BH2" s="5" t="s">
        <v>21</v>
      </c>
      <c r="BI2" s="5" t="s">
        <v>22</v>
      </c>
      <c r="BJ2" s="4" t="s">
        <v>23</v>
      </c>
      <c r="BK2" s="4" t="s">
        <v>24</v>
      </c>
      <c r="BL2" s="5" t="s">
        <v>14</v>
      </c>
      <c r="BM2" s="5" t="s">
        <v>15</v>
      </c>
      <c r="BN2" s="5" t="s">
        <v>5</v>
      </c>
      <c r="BO2" s="34" t="s">
        <v>16</v>
      </c>
      <c r="BP2" s="5" t="s">
        <v>17</v>
      </c>
      <c r="BQ2" s="5" t="s">
        <v>18</v>
      </c>
      <c r="BR2" s="5" t="s">
        <v>19</v>
      </c>
      <c r="BS2" s="5" t="s">
        <v>20</v>
      </c>
      <c r="BT2" s="5" t="s">
        <v>21</v>
      </c>
      <c r="BU2" s="5" t="s">
        <v>22</v>
      </c>
      <c r="BV2" s="5" t="s">
        <v>23</v>
      </c>
      <c r="BW2" s="5" t="s">
        <v>24</v>
      </c>
      <c r="BX2" s="5" t="s">
        <v>14</v>
      </c>
      <c r="BY2" s="5" t="s">
        <v>15</v>
      </c>
      <c r="BZ2" s="5" t="s">
        <v>5</v>
      </c>
      <c r="CA2" s="5" t="s">
        <v>16</v>
      </c>
      <c r="CB2" s="5" t="s">
        <v>17</v>
      </c>
      <c r="CC2" s="5" t="s">
        <v>18</v>
      </c>
      <c r="CD2" s="5" t="s">
        <v>19</v>
      </c>
      <c r="CE2" s="5" t="s">
        <v>20</v>
      </c>
      <c r="CF2" s="5" t="s">
        <v>21</v>
      </c>
      <c r="CG2" s="5" t="s">
        <v>22</v>
      </c>
      <c r="CH2" s="5" t="s">
        <v>23</v>
      </c>
      <c r="CI2" s="5" t="s">
        <v>24</v>
      </c>
      <c r="CJ2" s="5" t="s">
        <v>14</v>
      </c>
      <c r="CK2" s="5" t="s">
        <v>15</v>
      </c>
      <c r="CL2" s="5" t="s">
        <v>5</v>
      </c>
      <c r="CM2" s="5" t="s">
        <v>16</v>
      </c>
      <c r="CN2" s="5" t="s">
        <v>17</v>
      </c>
      <c r="CO2" s="5" t="s">
        <v>18</v>
      </c>
      <c r="CP2" s="5" t="s">
        <v>19</v>
      </c>
      <c r="CQ2" s="35" t="s">
        <v>20</v>
      </c>
      <c r="CR2" s="35" t="s">
        <v>21</v>
      </c>
      <c r="CS2" s="35" t="s">
        <v>22</v>
      </c>
      <c r="CT2" s="35" t="s">
        <v>23</v>
      </c>
      <c r="CU2" s="35" t="s">
        <v>24</v>
      </c>
      <c r="CV2" s="35" t="s">
        <v>14</v>
      </c>
      <c r="CW2" s="35" t="s">
        <v>15</v>
      </c>
      <c r="CX2" s="35" t="s">
        <v>5</v>
      </c>
      <c r="CY2" s="35" t="s">
        <v>16</v>
      </c>
      <c r="CZ2" s="35" t="s">
        <v>17</v>
      </c>
      <c r="DA2" s="35" t="s">
        <v>18</v>
      </c>
      <c r="DB2" s="35" t="s">
        <v>19</v>
      </c>
      <c r="DC2" s="35" t="s">
        <v>21</v>
      </c>
      <c r="DD2" s="35" t="s">
        <v>22</v>
      </c>
      <c r="DE2" s="35" t="s">
        <v>23</v>
      </c>
      <c r="DF2" s="35" t="s">
        <v>24</v>
      </c>
      <c r="DG2" s="35" t="s">
        <v>14</v>
      </c>
      <c r="DH2" s="35" t="s">
        <v>15</v>
      </c>
      <c r="DI2" s="35" t="s">
        <v>5</v>
      </c>
      <c r="DJ2" s="35" t="s">
        <v>16</v>
      </c>
      <c r="DK2" s="35" t="s">
        <v>17</v>
      </c>
      <c r="DL2" s="35" t="s">
        <v>18</v>
      </c>
      <c r="DM2" s="35" t="s">
        <v>19</v>
      </c>
      <c r="DN2" s="35" t="s">
        <v>20</v>
      </c>
      <c r="DO2" s="35" t="s">
        <v>21</v>
      </c>
      <c r="DP2" s="35" t="s">
        <v>22</v>
      </c>
      <c r="DQ2" s="35" t="s">
        <v>23</v>
      </c>
      <c r="DR2" s="35" t="s">
        <v>24</v>
      </c>
      <c r="DS2" s="35" t="s">
        <v>14</v>
      </c>
      <c r="DT2" s="35" t="s">
        <v>15</v>
      </c>
      <c r="DU2" s="35" t="s">
        <v>5</v>
      </c>
      <c r="DV2" s="35" t="s">
        <v>16</v>
      </c>
      <c r="DW2" s="35" t="s">
        <v>17</v>
      </c>
      <c r="DX2" s="35" t="s">
        <v>18</v>
      </c>
      <c r="DY2" s="35" t="s">
        <v>19</v>
      </c>
    </row>
    <row r="3" spans="1:134" x14ac:dyDescent="0.25">
      <c r="A3" s="75" t="s">
        <v>25</v>
      </c>
      <c r="D3" s="1" t="s">
        <v>26</v>
      </c>
      <c r="E3" s="1">
        <f>260+18</f>
        <v>278</v>
      </c>
      <c r="F3" s="1">
        <f>262+17</f>
        <v>279</v>
      </c>
      <c r="G3" s="1">
        <f>259+17</f>
        <v>276</v>
      </c>
      <c r="H3" s="1">
        <f>254+17</f>
        <v>271</v>
      </c>
      <c r="I3" s="1">
        <f>252+17</f>
        <v>269</v>
      </c>
      <c r="J3" s="1">
        <f>256+17</f>
        <v>273</v>
      </c>
      <c r="K3" s="1">
        <f>268+17</f>
        <v>285</v>
      </c>
      <c r="L3" s="1">
        <f>269+17</f>
        <v>286</v>
      </c>
      <c r="M3" s="1">
        <f>274+17</f>
        <v>291</v>
      </c>
      <c r="N3" s="1">
        <f>276+17</f>
        <v>293</v>
      </c>
      <c r="O3" s="1">
        <f>275+17</f>
        <v>292</v>
      </c>
      <c r="P3" s="1">
        <f>277+17</f>
        <v>294</v>
      </c>
      <c r="Q3" s="89">
        <f>283+17</f>
        <v>300</v>
      </c>
      <c r="R3" s="15">
        <f>280+16</f>
        <v>296</v>
      </c>
      <c r="S3" s="15">
        <f>284+16</f>
        <v>300</v>
      </c>
      <c r="T3" s="15">
        <f>289+16</f>
        <v>305</v>
      </c>
      <c r="U3" s="15">
        <f>292+16</f>
        <v>308</v>
      </c>
      <c r="V3" s="15">
        <f>294+16</f>
        <v>310</v>
      </c>
      <c r="W3" s="15">
        <f>302+16</f>
        <v>318</v>
      </c>
      <c r="X3" s="15">
        <f>302+17</f>
        <v>319</v>
      </c>
      <c r="Y3" s="15">
        <f>303+17</f>
        <v>320</v>
      </c>
      <c r="Z3" s="15">
        <f>307+17</f>
        <v>324</v>
      </c>
      <c r="AA3" s="15">
        <f>309+17</f>
        <v>326</v>
      </c>
      <c r="AB3" s="15">
        <f>307+17</f>
        <v>324</v>
      </c>
      <c r="AC3" s="15">
        <f>310+17</f>
        <v>327</v>
      </c>
      <c r="AD3" s="15">
        <f>317+17</f>
        <v>334</v>
      </c>
      <c r="AE3" s="15">
        <f>324+17</f>
        <v>341</v>
      </c>
      <c r="AF3" s="15">
        <f>324+17</f>
        <v>341</v>
      </c>
      <c r="AG3" s="15">
        <f>324+17</f>
        <v>341</v>
      </c>
      <c r="AH3" s="15">
        <f>325+17</f>
        <v>342</v>
      </c>
      <c r="AI3" s="15">
        <f>325+17</f>
        <v>342</v>
      </c>
      <c r="AJ3" s="15">
        <f>329+17</f>
        <v>346</v>
      </c>
      <c r="AK3" s="15">
        <f>324+17</f>
        <v>341</v>
      </c>
      <c r="AL3" s="15">
        <f>326+17</f>
        <v>343</v>
      </c>
      <c r="AM3" s="15">
        <f>325+17</f>
        <v>342</v>
      </c>
      <c r="AN3" s="15">
        <f>322+17</f>
        <v>339</v>
      </c>
      <c r="AO3" s="15">
        <f>324+17</f>
        <v>341</v>
      </c>
      <c r="AP3" s="15">
        <f>326+17</f>
        <v>343</v>
      </c>
      <c r="AQ3" s="15">
        <f>325+17</f>
        <v>342</v>
      </c>
      <c r="AR3" s="15">
        <f>326+17</f>
        <v>343</v>
      </c>
      <c r="AS3" s="15">
        <f>335+17</f>
        <v>352</v>
      </c>
      <c r="AT3" s="15">
        <f>329+17</f>
        <v>346</v>
      </c>
      <c r="AU3" s="15">
        <f>336+17</f>
        <v>353</v>
      </c>
      <c r="AV3" s="15">
        <f>333+17</f>
        <v>350</v>
      </c>
      <c r="AW3" s="15">
        <f>338+17</f>
        <v>355</v>
      </c>
      <c r="AX3" s="15">
        <f>337+17</f>
        <v>354</v>
      </c>
      <c r="AY3" s="15">
        <f>327+17</f>
        <v>344</v>
      </c>
      <c r="AZ3" s="15">
        <f>330+17</f>
        <v>347</v>
      </c>
      <c r="BA3" s="15">
        <f>332+17</f>
        <v>349</v>
      </c>
      <c r="BB3" s="15">
        <f>330+17</f>
        <v>347</v>
      </c>
      <c r="BC3" s="15">
        <f>335+17</f>
        <v>352</v>
      </c>
      <c r="BD3" s="15">
        <f>330+17</f>
        <v>347</v>
      </c>
      <c r="BE3" s="15">
        <f>322+17</f>
        <v>339</v>
      </c>
      <c r="BF3" s="15">
        <f>317+17</f>
        <v>334</v>
      </c>
      <c r="BG3" s="15">
        <f>329+17</f>
        <v>346</v>
      </c>
      <c r="BH3" s="15">
        <f>320+17</f>
        <v>337</v>
      </c>
      <c r="BI3" s="15">
        <f>323+17</f>
        <v>340</v>
      </c>
      <c r="BJ3" s="15">
        <f>319+17</f>
        <v>336</v>
      </c>
      <c r="BK3" s="1">
        <f>325+17</f>
        <v>342</v>
      </c>
      <c r="BL3" s="1">
        <v>334</v>
      </c>
      <c r="BM3" s="1">
        <v>323</v>
      </c>
      <c r="BN3" s="1">
        <v>328</v>
      </c>
      <c r="BO3" s="37">
        <v>326</v>
      </c>
      <c r="BP3" s="1">
        <v>328</v>
      </c>
      <c r="BQ3" s="1">
        <v>332</v>
      </c>
      <c r="BR3" s="1">
        <v>349</v>
      </c>
      <c r="BS3" s="1">
        <v>360</v>
      </c>
      <c r="BT3" s="1">
        <v>360</v>
      </c>
      <c r="BU3" s="1">
        <v>363</v>
      </c>
      <c r="BV3" s="1">
        <v>371</v>
      </c>
      <c r="BW3" s="1">
        <v>378</v>
      </c>
      <c r="BX3" s="1">
        <v>374</v>
      </c>
      <c r="BY3" s="1">
        <v>375</v>
      </c>
      <c r="BZ3" s="1">
        <v>376</v>
      </c>
      <c r="CA3" s="1">
        <v>383</v>
      </c>
      <c r="CB3" s="1">
        <v>387</v>
      </c>
      <c r="CC3" s="1">
        <v>386</v>
      </c>
      <c r="CD3" s="1">
        <v>392</v>
      </c>
      <c r="CE3" s="1">
        <v>405</v>
      </c>
      <c r="CF3" s="1">
        <v>407</v>
      </c>
      <c r="CG3" s="1">
        <v>399</v>
      </c>
      <c r="CH3" s="1">
        <v>396</v>
      </c>
      <c r="CI3" s="1">
        <v>396</v>
      </c>
      <c r="CJ3" s="1">
        <v>397</v>
      </c>
      <c r="CK3" s="1">
        <v>400</v>
      </c>
      <c r="CL3" s="1">
        <v>395</v>
      </c>
      <c r="CM3" s="1">
        <v>387</v>
      </c>
      <c r="CN3" s="1">
        <v>385</v>
      </c>
      <c r="CO3" s="1">
        <v>392</v>
      </c>
      <c r="CP3" s="1">
        <v>397</v>
      </c>
      <c r="CQ3" s="1">
        <v>418</v>
      </c>
      <c r="CR3" s="1">
        <v>417</v>
      </c>
      <c r="CS3" s="1">
        <v>421</v>
      </c>
      <c r="CT3" s="1">
        <f>412+14</f>
        <v>426</v>
      </c>
      <c r="CU3" s="1">
        <v>417</v>
      </c>
      <c r="CV3" s="1">
        <v>424</v>
      </c>
      <c r="CW3" s="1">
        <v>424</v>
      </c>
      <c r="CX3" s="1">
        <v>420</v>
      </c>
      <c r="CY3" s="1">
        <v>420</v>
      </c>
      <c r="CZ3" s="1">
        <v>423</v>
      </c>
      <c r="DA3" s="1">
        <f>404+13</f>
        <v>417</v>
      </c>
      <c r="DB3" s="1">
        <v>421</v>
      </c>
      <c r="DC3" s="1">
        <v>451</v>
      </c>
      <c r="DD3" s="1">
        <f>433+13</f>
        <v>446</v>
      </c>
      <c r="DE3" s="1">
        <f>428+13</f>
        <v>441</v>
      </c>
      <c r="DF3" s="1">
        <v>439</v>
      </c>
      <c r="DG3" s="1">
        <v>431</v>
      </c>
      <c r="DH3" s="1">
        <v>440</v>
      </c>
      <c r="DI3" s="1">
        <v>445</v>
      </c>
      <c r="DJ3" s="1">
        <v>441</v>
      </c>
      <c r="DK3" s="1">
        <v>444</v>
      </c>
      <c r="DL3" s="1">
        <v>441</v>
      </c>
      <c r="DM3" s="1">
        <v>449</v>
      </c>
      <c r="DN3" s="1">
        <v>440</v>
      </c>
      <c r="DO3" s="1">
        <v>438</v>
      </c>
      <c r="DP3" s="1">
        <v>437</v>
      </c>
      <c r="DQ3" s="1">
        <v>435</v>
      </c>
      <c r="DR3" s="1">
        <v>433</v>
      </c>
      <c r="DS3" s="1">
        <v>432</v>
      </c>
      <c r="DT3" s="1">
        <v>430</v>
      </c>
      <c r="DU3" s="1">
        <v>428</v>
      </c>
      <c r="DV3" s="1">
        <v>430</v>
      </c>
      <c r="DW3" s="1">
        <v>426</v>
      </c>
      <c r="DX3" s="1">
        <v>428</v>
      </c>
      <c r="DY3" s="1">
        <v>439</v>
      </c>
    </row>
    <row r="4" spans="1:134" x14ac:dyDescent="0.25">
      <c r="A4" s="75" t="s">
        <v>27</v>
      </c>
      <c r="D4" s="1" t="s">
        <v>28</v>
      </c>
      <c r="E4" s="23">
        <f>AVERAGE(E3:G3)</f>
        <v>277.66666666666669</v>
      </c>
      <c r="F4" s="23">
        <f>AVERAGE(F3:H3)</f>
        <v>275.33333333333331</v>
      </c>
      <c r="G4" s="23">
        <f>AVERAGE(G3:I3)</f>
        <v>272</v>
      </c>
      <c r="H4" s="23">
        <f>AVERAGE(H3:J3)</f>
        <v>271</v>
      </c>
      <c r="I4" s="23">
        <f>AVERAGE(I3:K3)</f>
        <v>275.66666666666669</v>
      </c>
      <c r="J4" s="23">
        <f>AVERAGE(J3:L3)</f>
        <v>281.33333333333331</v>
      </c>
      <c r="K4" s="23">
        <f t="shared" ref="K4:T4" si="0">AVERAGE(K3:M3)</f>
        <v>287.33333333333331</v>
      </c>
      <c r="L4" s="23">
        <f t="shared" si="0"/>
        <v>290</v>
      </c>
      <c r="M4" s="23">
        <f t="shared" si="0"/>
        <v>292</v>
      </c>
      <c r="N4" s="23">
        <f t="shared" si="0"/>
        <v>293</v>
      </c>
      <c r="O4" s="23">
        <f t="shared" si="0"/>
        <v>295.33333333333331</v>
      </c>
      <c r="P4" s="23">
        <f t="shared" si="0"/>
        <v>296.66666666666669</v>
      </c>
      <c r="Q4" s="90">
        <f t="shared" si="0"/>
        <v>298.66666666666669</v>
      </c>
      <c r="R4" s="39">
        <f t="shared" si="0"/>
        <v>300.33333333333331</v>
      </c>
      <c r="S4" s="39">
        <f t="shared" si="0"/>
        <v>304.33333333333331</v>
      </c>
      <c r="T4" s="39">
        <f t="shared" si="0"/>
        <v>307.66666666666669</v>
      </c>
      <c r="U4" s="39">
        <f>AVERAGE(U3:V3)</f>
        <v>309</v>
      </c>
      <c r="V4" s="39">
        <f>AVERAGE(V3:V3)</f>
        <v>310</v>
      </c>
      <c r="W4" s="39">
        <f t="shared" ref="W4:AF4" si="1">AVERAGE(W3:Y3)</f>
        <v>319</v>
      </c>
      <c r="X4" s="39">
        <f t="shared" si="1"/>
        <v>321</v>
      </c>
      <c r="Y4" s="39">
        <f t="shared" si="1"/>
        <v>323.33333333333331</v>
      </c>
      <c r="Z4" s="39">
        <f t="shared" si="1"/>
        <v>324.66666666666669</v>
      </c>
      <c r="AA4" s="39">
        <f t="shared" si="1"/>
        <v>325.66666666666669</v>
      </c>
      <c r="AB4" s="39">
        <f t="shared" si="1"/>
        <v>328.33333333333331</v>
      </c>
      <c r="AC4" s="39">
        <f t="shared" si="1"/>
        <v>334</v>
      </c>
      <c r="AD4" s="39">
        <f t="shared" si="1"/>
        <v>338.66666666666669</v>
      </c>
      <c r="AE4" s="39">
        <f t="shared" si="1"/>
        <v>341</v>
      </c>
      <c r="AF4" s="39">
        <f t="shared" si="1"/>
        <v>341.33333333333331</v>
      </c>
      <c r="AG4" s="39">
        <f>AVERAGE(AG3:AH3)</f>
        <v>341.5</v>
      </c>
      <c r="AH4" s="39">
        <f>AVERAGE(AH3:AH3)</f>
        <v>342</v>
      </c>
      <c r="AI4" s="39">
        <f t="shared" ref="AI4:BC4" si="2">AVERAGE(AI3:AL3)</f>
        <v>343</v>
      </c>
      <c r="AJ4" s="39">
        <f t="shared" si="2"/>
        <v>343</v>
      </c>
      <c r="AK4" s="39">
        <f t="shared" si="2"/>
        <v>341.25</v>
      </c>
      <c r="AL4" s="39">
        <f t="shared" si="2"/>
        <v>341.25</v>
      </c>
      <c r="AM4" s="39">
        <f t="shared" si="2"/>
        <v>341.25</v>
      </c>
      <c r="AN4" s="39">
        <f t="shared" si="2"/>
        <v>341.25</v>
      </c>
      <c r="AO4" s="39">
        <f t="shared" si="2"/>
        <v>342.25</v>
      </c>
      <c r="AP4" s="39">
        <f t="shared" si="2"/>
        <v>345</v>
      </c>
      <c r="AQ4" s="39">
        <f t="shared" si="2"/>
        <v>345.75</v>
      </c>
      <c r="AR4" s="39">
        <f t="shared" si="2"/>
        <v>348.5</v>
      </c>
      <c r="AS4" s="39">
        <f t="shared" si="2"/>
        <v>350.25</v>
      </c>
      <c r="AT4" s="39">
        <f t="shared" si="2"/>
        <v>351</v>
      </c>
      <c r="AU4" s="39">
        <f t="shared" si="2"/>
        <v>353</v>
      </c>
      <c r="AV4" s="39">
        <f t="shared" si="2"/>
        <v>350.75</v>
      </c>
      <c r="AW4" s="39">
        <f t="shared" si="2"/>
        <v>350</v>
      </c>
      <c r="AX4" s="39">
        <f t="shared" si="2"/>
        <v>348.5</v>
      </c>
      <c r="AY4" s="39">
        <f t="shared" si="2"/>
        <v>346.75</v>
      </c>
      <c r="AZ4" s="39">
        <f t="shared" si="2"/>
        <v>348.75</v>
      </c>
      <c r="BA4" s="39">
        <f t="shared" si="2"/>
        <v>348.75</v>
      </c>
      <c r="BB4" s="39">
        <f t="shared" si="2"/>
        <v>346.25</v>
      </c>
      <c r="BC4" s="39">
        <f t="shared" si="2"/>
        <v>343</v>
      </c>
      <c r="BD4" s="39">
        <f>AVERAGE(BD3:BF3)</f>
        <v>340</v>
      </c>
      <c r="BE4" s="39">
        <f>AVERAGE(BE3:BF3)</f>
        <v>336.5</v>
      </c>
      <c r="BF4" s="39">
        <f>AVERAGE(BF3)</f>
        <v>334</v>
      </c>
      <c r="BG4" s="39">
        <f t="shared" ref="BG4:BL4" si="3">AVERAGE(BG3:BM3)</f>
        <v>336.85714285714283</v>
      </c>
      <c r="BH4" s="39">
        <f t="shared" si="3"/>
        <v>334.28571428571428</v>
      </c>
      <c r="BI4" s="39">
        <f t="shared" si="3"/>
        <v>332.71428571428572</v>
      </c>
      <c r="BJ4" s="39">
        <f t="shared" si="3"/>
        <v>331</v>
      </c>
      <c r="BK4" s="39">
        <f t="shared" si="3"/>
        <v>330.42857142857144</v>
      </c>
      <c r="BL4" s="23">
        <f t="shared" si="3"/>
        <v>331.42857142857144</v>
      </c>
      <c r="BM4" s="23">
        <f>AVERAGE(BM3:BR3)</f>
        <v>331</v>
      </c>
      <c r="BN4" s="23">
        <f>AVERAGE(BN3:BR3)</f>
        <v>332.6</v>
      </c>
      <c r="BO4" s="41">
        <f>AVERAGE(BO3:BR3)</f>
        <v>333.75</v>
      </c>
      <c r="BP4" s="23">
        <f>AVERAGE(BP3:BR3)</f>
        <v>336.33333333333331</v>
      </c>
      <c r="BQ4" s="23">
        <f>AVERAGE(BQ3:BR3)</f>
        <v>340.5</v>
      </c>
      <c r="BR4" s="23">
        <f>AVERAGE(BR3)</f>
        <v>349</v>
      </c>
      <c r="BS4" s="23">
        <f>AVERAGE(BS3:CD3)</f>
        <v>375.41666666666669</v>
      </c>
      <c r="BT4" s="23">
        <f>AVERAGE(BT3:CD3)</f>
        <v>376.81818181818181</v>
      </c>
      <c r="BU4" s="23">
        <f>AVERAGE(BU3:CD3)</f>
        <v>378.5</v>
      </c>
      <c r="BV4" s="23">
        <f>AVERAGE(BV3:CD3)</f>
        <v>380.22222222222223</v>
      </c>
      <c r="BW4" s="23">
        <f>AVERAGE(BW3:CD3)</f>
        <v>381.375</v>
      </c>
      <c r="BX4" s="23">
        <f>AVERAGE(BX3:CD3)</f>
        <v>381.85714285714283</v>
      </c>
      <c r="BY4" s="23">
        <f>AVERAGE(BY3:CD3)</f>
        <v>383.16666666666669</v>
      </c>
      <c r="BZ4" s="23">
        <f>AVERAGE(BZ3:CD3)</f>
        <v>384.8</v>
      </c>
      <c r="CA4" s="23">
        <f>AVERAGE(CA3:CD3)</f>
        <v>387</v>
      </c>
      <c r="CB4" s="23">
        <f>AVERAGE(CB3:CD3)</f>
        <v>388.33333333333331</v>
      </c>
      <c r="CC4" s="23">
        <f>AVERAGE(CC3:CD3)</f>
        <v>389</v>
      </c>
      <c r="CD4" s="23">
        <f>AVERAGE(CD3)</f>
        <v>392</v>
      </c>
      <c r="CE4" s="23">
        <f>AVERAGE(CE3:CP3)</f>
        <v>396.33333333333331</v>
      </c>
      <c r="CF4" s="23">
        <f>AVERAGE(CF3:CP3)</f>
        <v>395.54545454545456</v>
      </c>
      <c r="CG4" s="23">
        <f>AVERAGE(CG3:CP3)</f>
        <v>394.4</v>
      </c>
      <c r="CH4" s="23">
        <f>AVERAGE(CH3:CP3)</f>
        <v>393.88888888888891</v>
      </c>
      <c r="CI4" s="23">
        <f>AVERAGE(CI3:CP3)</f>
        <v>393.625</v>
      </c>
      <c r="CJ4" s="23">
        <f>AVERAGE(CJ3:CP3)</f>
        <v>393.28571428571428</v>
      </c>
      <c r="CK4" s="23">
        <f>AVERAGE(CK3:CP3)</f>
        <v>392.66666666666669</v>
      </c>
      <c r="CL4" s="23">
        <f>AVERAGE(CL3:CP3)</f>
        <v>391.2</v>
      </c>
      <c r="CM4" s="23">
        <f>AVERAGE(CM3:CP3)</f>
        <v>390.25</v>
      </c>
      <c r="CN4" s="23">
        <f>AVERAGE(CN3:CP3)</f>
        <v>391.33333333333331</v>
      </c>
      <c r="CO4" s="23">
        <f>AVERAGE(CO3:CP3)</f>
        <v>394.5</v>
      </c>
      <c r="CP4" s="23">
        <f>AVERAGE(CP3)</f>
        <v>397</v>
      </c>
      <c r="CQ4" s="23">
        <f>AVERAGE(CQ3:DB3)</f>
        <v>420.66666666666669</v>
      </c>
      <c r="CR4" s="23">
        <f>AVERAGE(CR3:DB3)</f>
        <v>420.90909090909093</v>
      </c>
      <c r="CS4" s="23">
        <f>AVERAGE(CS3:DB3)</f>
        <v>421.3</v>
      </c>
      <c r="CT4" s="23">
        <f>AVERAGE(CT3:DB3)</f>
        <v>421.33333333333331</v>
      </c>
      <c r="CU4" s="23">
        <f>AVERAGE(CU3:DB3)</f>
        <v>420.75</v>
      </c>
      <c r="CV4" s="23">
        <f>AVERAGE(CV3:DB3)</f>
        <v>421.28571428571428</v>
      </c>
      <c r="CW4" s="23">
        <f>AVERAGE(CW3:DB3)</f>
        <v>420.83333333333331</v>
      </c>
      <c r="CX4" s="23">
        <f>AVERAGE(CX3:DB3)</f>
        <v>420.2</v>
      </c>
      <c r="CY4" s="23">
        <f>AVERAGE(CY3:DB3)</f>
        <v>420.25</v>
      </c>
      <c r="CZ4" s="23">
        <f>AVERAGE(CZ3:DB3)</f>
        <v>420.33333333333331</v>
      </c>
      <c r="DA4" s="23">
        <f>AVERAGE(DA3:DB3)</f>
        <v>419</v>
      </c>
      <c r="DB4" s="23">
        <f>AVERAGE(DB3)</f>
        <v>421</v>
      </c>
      <c r="DC4" s="23">
        <f>AVERAGE(DC3:DM3)</f>
        <v>442.54545454545456</v>
      </c>
      <c r="DD4" s="23">
        <f>AVERAGE(DD3:DM3)</f>
        <v>441.7</v>
      </c>
      <c r="DE4" s="23">
        <f>AVERAGE(DE3:DM3)</f>
        <v>441.22222222222223</v>
      </c>
      <c r="DF4" s="23">
        <f>AVERAGE(DF3:DM3)</f>
        <v>441.25</v>
      </c>
      <c r="DG4" s="23">
        <f>AVERAGE(DG3:DM3)</f>
        <v>441.57142857142856</v>
      </c>
      <c r="DH4" s="23">
        <f>AVERAGE(DH3:DM3)</f>
        <v>443.33333333333331</v>
      </c>
      <c r="DI4" s="23">
        <f>AVERAGE(DI3:DM3)</f>
        <v>444</v>
      </c>
      <c r="DJ4" s="23">
        <f>AVERAGE(DJ3:DM3)</f>
        <v>443.75</v>
      </c>
      <c r="DK4" s="23">
        <f>AVERAGE(DK3:DM3)</f>
        <v>444.66666666666669</v>
      </c>
      <c r="DL4" s="23">
        <f>AVERAGE(DL3:DM3)</f>
        <v>445</v>
      </c>
      <c r="DM4" s="23">
        <f>+DM3</f>
        <v>449</v>
      </c>
      <c r="DN4" s="23">
        <f>AVERAGE(DO3:DY3)</f>
        <v>432.36363636363637</v>
      </c>
      <c r="DO4" s="23">
        <f>AVERAGE(DO3:DY3)</f>
        <v>432.36363636363637</v>
      </c>
      <c r="DP4" s="23">
        <f>AVERAGE(DP3:DY3)</f>
        <v>431.8</v>
      </c>
      <c r="DQ4" s="23">
        <f>AVERAGE(DQ3:DY3)</f>
        <v>431.22222222222223</v>
      </c>
      <c r="DR4" s="23">
        <f>AVERAGE(DR3:DY3)</f>
        <v>430.75</v>
      </c>
      <c r="DS4" s="23">
        <f>AVERAGE(DS3:DY3)</f>
        <v>430.42857142857144</v>
      </c>
      <c r="DT4" s="23">
        <f>AVERAGE(DT3:DY3)</f>
        <v>430.16666666666669</v>
      </c>
      <c r="DU4" s="23">
        <f>AVERAGE(DU3:DY3)</f>
        <v>430.2</v>
      </c>
      <c r="DV4" s="23">
        <f>AVERAGE(DV3:DY3)</f>
        <v>430.75</v>
      </c>
      <c r="DW4" s="23">
        <f t="shared" ref="DW4:DX4" si="4">AVERAGE(DW3:DX3)</f>
        <v>427</v>
      </c>
      <c r="DX4" s="23">
        <f t="shared" si="4"/>
        <v>433.5</v>
      </c>
      <c r="DY4" s="1">
        <f>+DY3</f>
        <v>439</v>
      </c>
      <c r="EA4" s="17"/>
    </row>
    <row r="5" spans="1:134" x14ac:dyDescent="0.25">
      <c r="A5" s="1" t="s">
        <v>29</v>
      </c>
      <c r="D5" s="1" t="s">
        <v>30</v>
      </c>
      <c r="E5" s="1">
        <f t="shared" ref="E5:V5" si="5">347+16</f>
        <v>363</v>
      </c>
      <c r="F5" s="1">
        <f t="shared" si="5"/>
        <v>363</v>
      </c>
      <c r="G5" s="1">
        <f t="shared" si="5"/>
        <v>363</v>
      </c>
      <c r="H5" s="1">
        <f t="shared" si="5"/>
        <v>363</v>
      </c>
      <c r="I5" s="1">
        <f t="shared" si="5"/>
        <v>363</v>
      </c>
      <c r="J5" s="1">
        <f t="shared" si="5"/>
        <v>363</v>
      </c>
      <c r="K5" s="1">
        <f t="shared" si="5"/>
        <v>363</v>
      </c>
      <c r="L5" s="1">
        <f t="shared" si="5"/>
        <v>363</v>
      </c>
      <c r="M5" s="1">
        <f t="shared" si="5"/>
        <v>363</v>
      </c>
      <c r="N5" s="1">
        <f t="shared" si="5"/>
        <v>363</v>
      </c>
      <c r="O5" s="1">
        <f t="shared" si="5"/>
        <v>363</v>
      </c>
      <c r="P5" s="1">
        <f t="shared" si="5"/>
        <v>363</v>
      </c>
      <c r="Q5" s="89">
        <f t="shared" si="5"/>
        <v>363</v>
      </c>
      <c r="R5" s="15">
        <f t="shared" si="5"/>
        <v>363</v>
      </c>
      <c r="S5" s="15">
        <f t="shared" si="5"/>
        <v>363</v>
      </c>
      <c r="T5" s="15">
        <f t="shared" si="5"/>
        <v>363</v>
      </c>
      <c r="U5" s="15">
        <f t="shared" si="5"/>
        <v>363</v>
      </c>
      <c r="V5" s="15">
        <f t="shared" si="5"/>
        <v>363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407</v>
      </c>
      <c r="AD5" s="15">
        <v>407</v>
      </c>
      <c r="AE5" s="15">
        <v>407</v>
      </c>
      <c r="AF5" s="15">
        <v>407</v>
      </c>
      <c r="AG5" s="15">
        <v>407</v>
      </c>
      <c r="AH5" s="15">
        <v>407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7">
        <v>382</v>
      </c>
      <c r="BA5" s="15">
        <v>382</v>
      </c>
      <c r="BB5" s="15">
        <v>382</v>
      </c>
      <c r="BC5" s="15">
        <v>382</v>
      </c>
      <c r="BD5" s="15">
        <v>382</v>
      </c>
      <c r="BE5" s="15">
        <v>382</v>
      </c>
      <c r="BF5" s="15">
        <v>382</v>
      </c>
      <c r="BG5" s="15">
        <v>363</v>
      </c>
      <c r="BH5" s="15">
        <v>363</v>
      </c>
      <c r="BI5" s="15">
        <v>363</v>
      </c>
      <c r="BJ5" s="14">
        <v>363</v>
      </c>
      <c r="BK5" s="16">
        <v>363</v>
      </c>
      <c r="BL5" s="1">
        <v>363</v>
      </c>
      <c r="BM5" s="1">
        <v>363</v>
      </c>
      <c r="BN5" s="1">
        <v>363</v>
      </c>
      <c r="BO5" s="37">
        <v>363</v>
      </c>
      <c r="BP5" s="1">
        <v>363</v>
      </c>
      <c r="BQ5" s="1">
        <v>363</v>
      </c>
      <c r="BR5" s="1">
        <v>363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415</v>
      </c>
      <c r="CN5" s="1">
        <v>415</v>
      </c>
      <c r="CO5" s="1">
        <v>415</v>
      </c>
      <c r="CP5" s="1">
        <v>415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445</v>
      </c>
      <c r="CX5" s="1">
        <v>445</v>
      </c>
      <c r="CY5" s="1">
        <v>445</v>
      </c>
      <c r="CZ5" s="1">
        <v>445</v>
      </c>
      <c r="DA5" s="1">
        <v>445</v>
      </c>
      <c r="DB5" s="1">
        <v>445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461</v>
      </c>
      <c r="DI5" s="1">
        <v>461</v>
      </c>
      <c r="DJ5" s="1">
        <v>461</v>
      </c>
      <c r="DK5" s="1">
        <v>461</v>
      </c>
      <c r="DL5" s="1">
        <v>461</v>
      </c>
      <c r="DM5" s="1">
        <v>461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">
        <v>460</v>
      </c>
      <c r="DU5" s="1">
        <v>460</v>
      </c>
      <c r="DV5" s="1">
        <v>460</v>
      </c>
      <c r="DW5" s="1">
        <v>460</v>
      </c>
      <c r="DX5" s="1">
        <v>460</v>
      </c>
      <c r="DY5" s="1">
        <v>460</v>
      </c>
      <c r="DZ5" s="17"/>
      <c r="EA5" s="17"/>
      <c r="EB5" s="17"/>
    </row>
    <row r="6" spans="1:134" x14ac:dyDescent="0.25">
      <c r="A6" s="1" t="s">
        <v>31</v>
      </c>
      <c r="D6" s="1" t="s">
        <v>32</v>
      </c>
      <c r="E6" s="23">
        <f t="shared" ref="E6:F6" si="6">+E4-E5</f>
        <v>-85.333333333333314</v>
      </c>
      <c r="F6" s="23">
        <f t="shared" si="6"/>
        <v>-87.666666666666686</v>
      </c>
      <c r="G6" s="23">
        <f t="shared" ref="G6:H6" si="7">+G4-G5</f>
        <v>-91</v>
      </c>
      <c r="H6" s="23">
        <f t="shared" si="7"/>
        <v>-92</v>
      </c>
      <c r="I6" s="23">
        <f t="shared" ref="I6:J6" si="8">+I4-I5</f>
        <v>-87.333333333333314</v>
      </c>
      <c r="J6" s="23">
        <f t="shared" si="8"/>
        <v>-81.666666666666686</v>
      </c>
      <c r="K6" s="23">
        <f t="shared" ref="K6:BV6" si="9">+K4-K5</f>
        <v>-75.666666666666686</v>
      </c>
      <c r="L6" s="23">
        <f t="shared" si="9"/>
        <v>-73</v>
      </c>
      <c r="M6" s="23">
        <f t="shared" si="9"/>
        <v>-71</v>
      </c>
      <c r="N6" s="23">
        <f t="shared" si="9"/>
        <v>-70</v>
      </c>
      <c r="O6" s="23">
        <f t="shared" si="9"/>
        <v>-67.666666666666686</v>
      </c>
      <c r="P6" s="23">
        <f t="shared" si="9"/>
        <v>-66.333333333333314</v>
      </c>
      <c r="Q6" s="90">
        <f t="shared" si="9"/>
        <v>-64.333333333333314</v>
      </c>
      <c r="R6" s="39">
        <f t="shared" si="9"/>
        <v>-62.666666666666686</v>
      </c>
      <c r="S6" s="39">
        <f t="shared" si="9"/>
        <v>-58.666666666666686</v>
      </c>
      <c r="T6" s="39">
        <f t="shared" si="9"/>
        <v>-55.333333333333314</v>
      </c>
      <c r="U6" s="39">
        <f t="shared" si="9"/>
        <v>-54</v>
      </c>
      <c r="V6" s="39">
        <f t="shared" si="9"/>
        <v>-53</v>
      </c>
      <c r="W6" s="39">
        <f t="shared" si="9"/>
        <v>-88</v>
      </c>
      <c r="X6" s="39">
        <f t="shared" si="9"/>
        <v>-86</v>
      </c>
      <c r="Y6" s="39">
        <f t="shared" si="9"/>
        <v>-83.666666666666686</v>
      </c>
      <c r="Z6" s="39">
        <f t="shared" si="9"/>
        <v>-82.333333333333314</v>
      </c>
      <c r="AA6" s="39">
        <f t="shared" si="9"/>
        <v>-81.333333333333314</v>
      </c>
      <c r="AB6" s="39">
        <f t="shared" si="9"/>
        <v>-78.666666666666686</v>
      </c>
      <c r="AC6" s="39">
        <f t="shared" si="9"/>
        <v>-73</v>
      </c>
      <c r="AD6" s="39">
        <f t="shared" si="9"/>
        <v>-68.333333333333314</v>
      </c>
      <c r="AE6" s="39">
        <f t="shared" si="9"/>
        <v>-66</v>
      </c>
      <c r="AF6" s="39">
        <f t="shared" si="9"/>
        <v>-65.666666666666686</v>
      </c>
      <c r="AG6" s="39">
        <f t="shared" si="9"/>
        <v>-65.5</v>
      </c>
      <c r="AH6" s="39">
        <f t="shared" si="9"/>
        <v>-65</v>
      </c>
      <c r="AI6" s="39">
        <f t="shared" si="9"/>
        <v>-39</v>
      </c>
      <c r="AJ6" s="39">
        <f t="shared" si="9"/>
        <v>-39</v>
      </c>
      <c r="AK6" s="39">
        <f t="shared" si="9"/>
        <v>-40.75</v>
      </c>
      <c r="AL6" s="39">
        <f t="shared" si="9"/>
        <v>-40.75</v>
      </c>
      <c r="AM6" s="39">
        <f t="shared" si="9"/>
        <v>-40.75</v>
      </c>
      <c r="AN6" s="39">
        <f t="shared" si="9"/>
        <v>-40.75</v>
      </c>
      <c r="AO6" s="39">
        <f t="shared" si="9"/>
        <v>-39.75</v>
      </c>
      <c r="AP6" s="39">
        <f t="shared" si="9"/>
        <v>-37</v>
      </c>
      <c r="AQ6" s="39">
        <f t="shared" si="9"/>
        <v>-36.25</v>
      </c>
      <c r="AR6" s="39">
        <f t="shared" si="9"/>
        <v>-33.5</v>
      </c>
      <c r="AS6" s="39">
        <f t="shared" si="9"/>
        <v>-31.75</v>
      </c>
      <c r="AT6" s="39">
        <f t="shared" si="9"/>
        <v>-31</v>
      </c>
      <c r="AU6" s="39">
        <f t="shared" si="9"/>
        <v>-29</v>
      </c>
      <c r="AV6" s="39">
        <f t="shared" si="9"/>
        <v>-31.25</v>
      </c>
      <c r="AW6" s="39">
        <f t="shared" si="9"/>
        <v>-32</v>
      </c>
      <c r="AX6" s="39">
        <f t="shared" si="9"/>
        <v>-33.5</v>
      </c>
      <c r="AY6" s="39">
        <f t="shared" si="9"/>
        <v>-35.25</v>
      </c>
      <c r="AZ6" s="39">
        <f t="shared" si="9"/>
        <v>-33.25</v>
      </c>
      <c r="BA6" s="39">
        <f t="shared" si="9"/>
        <v>-33.25</v>
      </c>
      <c r="BB6" s="39">
        <f t="shared" si="9"/>
        <v>-35.75</v>
      </c>
      <c r="BC6" s="39">
        <f t="shared" si="9"/>
        <v>-39</v>
      </c>
      <c r="BD6" s="39">
        <f t="shared" si="9"/>
        <v>-42</v>
      </c>
      <c r="BE6" s="39">
        <f t="shared" si="9"/>
        <v>-45.5</v>
      </c>
      <c r="BF6" s="39">
        <f t="shared" si="9"/>
        <v>-48</v>
      </c>
      <c r="BG6" s="39">
        <f t="shared" si="9"/>
        <v>-26.142857142857167</v>
      </c>
      <c r="BH6" s="39">
        <f t="shared" si="9"/>
        <v>-28.714285714285722</v>
      </c>
      <c r="BI6" s="39">
        <f t="shared" si="9"/>
        <v>-30.285714285714278</v>
      </c>
      <c r="BJ6" s="39">
        <f t="shared" si="9"/>
        <v>-32</v>
      </c>
      <c r="BK6" s="39">
        <f t="shared" si="9"/>
        <v>-32.571428571428555</v>
      </c>
      <c r="BL6" s="23">
        <f t="shared" si="9"/>
        <v>-31.571428571428555</v>
      </c>
      <c r="BM6" s="23">
        <f t="shared" si="9"/>
        <v>-32</v>
      </c>
      <c r="BN6" s="23">
        <f t="shared" si="9"/>
        <v>-30.399999999999977</v>
      </c>
      <c r="BO6" s="41">
        <f t="shared" si="9"/>
        <v>-29.25</v>
      </c>
      <c r="BP6" s="23">
        <f t="shared" si="9"/>
        <v>-26.666666666666686</v>
      </c>
      <c r="BQ6" s="23">
        <f t="shared" si="9"/>
        <v>-22.5</v>
      </c>
      <c r="BR6" s="23">
        <f t="shared" si="9"/>
        <v>-14</v>
      </c>
      <c r="BS6" s="23">
        <f t="shared" si="9"/>
        <v>-39.583333333333314</v>
      </c>
      <c r="BT6" s="23">
        <f t="shared" si="9"/>
        <v>-38.181818181818187</v>
      </c>
      <c r="BU6" s="23">
        <f t="shared" si="9"/>
        <v>-36.5</v>
      </c>
      <c r="BV6" s="23">
        <f t="shared" si="9"/>
        <v>-34.777777777777771</v>
      </c>
      <c r="BW6" s="23">
        <f t="shared" ref="BW6:DY6" si="10">+BW4-BW5</f>
        <v>-33.625</v>
      </c>
      <c r="BX6" s="23">
        <f t="shared" si="10"/>
        <v>-33.142857142857167</v>
      </c>
      <c r="BY6" s="23">
        <f t="shared" si="10"/>
        <v>-31.833333333333314</v>
      </c>
      <c r="BZ6" s="23">
        <f t="shared" si="10"/>
        <v>-30.199999999999989</v>
      </c>
      <c r="CA6" s="23">
        <f t="shared" si="10"/>
        <v>-28</v>
      </c>
      <c r="CB6" s="23">
        <f t="shared" si="10"/>
        <v>-26.666666666666686</v>
      </c>
      <c r="CC6" s="23">
        <f t="shared" si="10"/>
        <v>-26</v>
      </c>
      <c r="CD6" s="23">
        <f t="shared" si="10"/>
        <v>-23</v>
      </c>
      <c r="CE6" s="23">
        <f t="shared" si="10"/>
        <v>-18.666666666666686</v>
      </c>
      <c r="CF6" s="23">
        <f t="shared" si="10"/>
        <v>-19.454545454545439</v>
      </c>
      <c r="CG6" s="23">
        <f t="shared" si="10"/>
        <v>-20.600000000000023</v>
      </c>
      <c r="CH6" s="23">
        <f t="shared" si="10"/>
        <v>-21.111111111111086</v>
      </c>
      <c r="CI6" s="23">
        <f t="shared" si="10"/>
        <v>-21.375</v>
      </c>
      <c r="CJ6" s="23">
        <f t="shared" si="10"/>
        <v>-21.714285714285722</v>
      </c>
      <c r="CK6" s="23">
        <f t="shared" si="10"/>
        <v>-22.333333333333314</v>
      </c>
      <c r="CL6" s="23">
        <f t="shared" si="10"/>
        <v>-23.800000000000011</v>
      </c>
      <c r="CM6" s="23">
        <f t="shared" si="10"/>
        <v>-24.75</v>
      </c>
      <c r="CN6" s="23">
        <f t="shared" si="10"/>
        <v>-23.666666666666686</v>
      </c>
      <c r="CO6" s="23">
        <f t="shared" si="10"/>
        <v>-20.5</v>
      </c>
      <c r="CP6" s="23">
        <f t="shared" si="10"/>
        <v>-18</v>
      </c>
      <c r="CQ6" s="23">
        <f t="shared" si="10"/>
        <v>-24.333333333333314</v>
      </c>
      <c r="CR6" s="23">
        <f t="shared" si="10"/>
        <v>-24.090909090909065</v>
      </c>
      <c r="CS6" s="23">
        <f t="shared" si="10"/>
        <v>-23.699999999999989</v>
      </c>
      <c r="CT6" s="23">
        <f t="shared" si="10"/>
        <v>-23.666666666666686</v>
      </c>
      <c r="CU6" s="23">
        <f t="shared" si="10"/>
        <v>-24.25</v>
      </c>
      <c r="CV6" s="23">
        <f t="shared" si="10"/>
        <v>-23.714285714285722</v>
      </c>
      <c r="CW6" s="23">
        <f t="shared" si="10"/>
        <v>-24.166666666666686</v>
      </c>
      <c r="CX6" s="23">
        <f t="shared" si="10"/>
        <v>-24.800000000000011</v>
      </c>
      <c r="CY6" s="23">
        <f t="shared" si="10"/>
        <v>-24.75</v>
      </c>
      <c r="CZ6" s="23">
        <f t="shared" si="10"/>
        <v>-24.666666666666686</v>
      </c>
      <c r="DA6" s="23">
        <f t="shared" si="10"/>
        <v>-26</v>
      </c>
      <c r="DB6" s="23">
        <f t="shared" si="10"/>
        <v>-24</v>
      </c>
      <c r="DC6" s="23">
        <f t="shared" si="10"/>
        <v>-18.454545454545439</v>
      </c>
      <c r="DD6" s="23">
        <f t="shared" si="10"/>
        <v>-19.300000000000011</v>
      </c>
      <c r="DE6" s="23">
        <f t="shared" si="10"/>
        <v>-19.777777777777771</v>
      </c>
      <c r="DF6" s="23">
        <f t="shared" si="10"/>
        <v>-19.75</v>
      </c>
      <c r="DG6" s="23">
        <f t="shared" si="10"/>
        <v>-19.428571428571445</v>
      </c>
      <c r="DH6" s="23">
        <f t="shared" si="10"/>
        <v>-17.666666666666686</v>
      </c>
      <c r="DI6" s="23">
        <f t="shared" si="10"/>
        <v>-17</v>
      </c>
      <c r="DJ6" s="23">
        <f t="shared" si="10"/>
        <v>-17.25</v>
      </c>
      <c r="DK6" s="23">
        <f t="shared" si="10"/>
        <v>-16.333333333333314</v>
      </c>
      <c r="DL6" s="23">
        <f t="shared" si="10"/>
        <v>-16</v>
      </c>
      <c r="DM6" s="23">
        <f t="shared" si="10"/>
        <v>-12</v>
      </c>
      <c r="DN6" s="23">
        <f t="shared" si="10"/>
        <v>-27.636363636363626</v>
      </c>
      <c r="DO6" s="23">
        <f t="shared" si="10"/>
        <v>-27.636363636363626</v>
      </c>
      <c r="DP6" s="23">
        <f t="shared" si="10"/>
        <v>-28.199999999999989</v>
      </c>
      <c r="DQ6" s="23">
        <f t="shared" si="10"/>
        <v>-28.777777777777771</v>
      </c>
      <c r="DR6" s="23">
        <f t="shared" si="10"/>
        <v>-29.25</v>
      </c>
      <c r="DS6" s="23">
        <f t="shared" si="10"/>
        <v>-29.571428571428555</v>
      </c>
      <c r="DT6" s="23">
        <f t="shared" si="10"/>
        <v>-29.833333333333314</v>
      </c>
      <c r="DU6" s="23">
        <f t="shared" si="10"/>
        <v>-29.800000000000011</v>
      </c>
      <c r="DV6" s="23">
        <f t="shared" si="10"/>
        <v>-29.25</v>
      </c>
      <c r="DW6" s="23">
        <f t="shared" si="10"/>
        <v>-33</v>
      </c>
      <c r="DX6" s="23">
        <f t="shared" si="10"/>
        <v>-26.5</v>
      </c>
      <c r="DY6" s="23">
        <f t="shared" si="10"/>
        <v>-21</v>
      </c>
      <c r="EA6" s="17"/>
    </row>
    <row r="7" spans="1:134" x14ac:dyDescent="0.25">
      <c r="A7" s="1" t="s">
        <v>33</v>
      </c>
      <c r="D7" s="1" t="s">
        <v>34</v>
      </c>
      <c r="E7" s="24">
        <f t="shared" ref="E7:F7" si="11">+E6*218</f>
        <v>-18602.666666666664</v>
      </c>
      <c r="F7" s="24">
        <f t="shared" si="11"/>
        <v>-19111.333333333336</v>
      </c>
      <c r="G7" s="24">
        <f t="shared" ref="G7:H7" si="12">+G6*218</f>
        <v>-19838</v>
      </c>
      <c r="H7" s="24">
        <f t="shared" si="12"/>
        <v>-20056</v>
      </c>
      <c r="I7" s="24">
        <f t="shared" ref="I7:J7" si="13">+I6*218</f>
        <v>-19038.666666666664</v>
      </c>
      <c r="J7" s="24">
        <f t="shared" si="13"/>
        <v>-17803.333333333336</v>
      </c>
      <c r="K7" s="24">
        <f t="shared" ref="K7:AH7" si="14">+K6*218</f>
        <v>-16495.333333333336</v>
      </c>
      <c r="L7" s="24">
        <f t="shared" si="14"/>
        <v>-15914</v>
      </c>
      <c r="M7" s="24">
        <f t="shared" si="14"/>
        <v>-15478</v>
      </c>
      <c r="N7" s="24">
        <f t="shared" si="14"/>
        <v>-15260</v>
      </c>
      <c r="O7" s="24">
        <f t="shared" si="14"/>
        <v>-14751.333333333338</v>
      </c>
      <c r="P7" s="24">
        <f t="shared" si="14"/>
        <v>-14460.666666666662</v>
      </c>
      <c r="Q7" s="91">
        <f t="shared" si="14"/>
        <v>-14024.666666666662</v>
      </c>
      <c r="R7" s="83">
        <f t="shared" si="14"/>
        <v>-13661.333333333338</v>
      </c>
      <c r="S7" s="83">
        <f t="shared" si="14"/>
        <v>-12789.333333333338</v>
      </c>
      <c r="T7" s="83">
        <f t="shared" si="14"/>
        <v>-12062.666666666662</v>
      </c>
      <c r="U7" s="83">
        <f t="shared" si="14"/>
        <v>-11772</v>
      </c>
      <c r="V7" s="97">
        <f t="shared" si="14"/>
        <v>-11554</v>
      </c>
      <c r="W7" s="83">
        <f t="shared" si="14"/>
        <v>-19184</v>
      </c>
      <c r="X7" s="83">
        <f t="shared" si="14"/>
        <v>-18748</v>
      </c>
      <c r="Y7" s="83">
        <f t="shared" si="14"/>
        <v>-18239.333333333336</v>
      </c>
      <c r="Z7" s="83">
        <f t="shared" si="14"/>
        <v>-17948.666666666664</v>
      </c>
      <c r="AA7" s="83">
        <f t="shared" si="14"/>
        <v>-17730.666666666664</v>
      </c>
      <c r="AB7" s="24">
        <f t="shared" si="14"/>
        <v>-17149.333333333336</v>
      </c>
      <c r="AC7" s="83">
        <f t="shared" si="14"/>
        <v>-15914</v>
      </c>
      <c r="AD7" s="83">
        <f t="shared" si="14"/>
        <v>-14896.666666666662</v>
      </c>
      <c r="AE7" s="80">
        <f t="shared" si="14"/>
        <v>-14388</v>
      </c>
      <c r="AF7" s="24">
        <f t="shared" si="14"/>
        <v>-14315.333333333338</v>
      </c>
      <c r="AG7" s="24">
        <f t="shared" si="14"/>
        <v>-14279</v>
      </c>
      <c r="AH7" s="24">
        <f t="shared" si="14"/>
        <v>-14170</v>
      </c>
      <c r="AI7" s="24">
        <f>+AI6*192</f>
        <v>-7488</v>
      </c>
      <c r="AJ7" s="24">
        <f t="shared" ref="AJ7:CD7" si="15">+AJ6*192</f>
        <v>-7488</v>
      </c>
      <c r="AK7" s="77">
        <f t="shared" si="15"/>
        <v>-7824</v>
      </c>
      <c r="AL7" s="24">
        <f t="shared" si="15"/>
        <v>-7824</v>
      </c>
      <c r="AM7" s="24">
        <f t="shared" si="15"/>
        <v>-7824</v>
      </c>
      <c r="AN7" s="24">
        <f t="shared" si="15"/>
        <v>-7824</v>
      </c>
      <c r="AO7" s="24">
        <f t="shared" si="15"/>
        <v>-7632</v>
      </c>
      <c r="AP7" s="24">
        <f t="shared" si="15"/>
        <v>-7104</v>
      </c>
      <c r="AQ7" s="24">
        <f t="shared" si="15"/>
        <v>-6960</v>
      </c>
      <c r="AR7" s="24">
        <f t="shared" si="15"/>
        <v>-6432</v>
      </c>
      <c r="AS7" s="24">
        <f t="shared" si="15"/>
        <v>-6096</v>
      </c>
      <c r="AT7" s="24">
        <f t="shared" si="15"/>
        <v>-5952</v>
      </c>
      <c r="AU7" s="24">
        <f t="shared" si="15"/>
        <v>-5568</v>
      </c>
      <c r="AV7" s="24">
        <f t="shared" si="15"/>
        <v>-6000</v>
      </c>
      <c r="AW7" s="24">
        <f t="shared" si="15"/>
        <v>-6144</v>
      </c>
      <c r="AX7" s="24">
        <f t="shared" si="15"/>
        <v>-6432</v>
      </c>
      <c r="AY7" s="24">
        <f t="shared" si="15"/>
        <v>-6768</v>
      </c>
      <c r="AZ7" s="24">
        <f t="shared" si="15"/>
        <v>-6384</v>
      </c>
      <c r="BA7" s="24">
        <f t="shared" si="15"/>
        <v>-6384</v>
      </c>
      <c r="BB7" s="24">
        <f t="shared" si="15"/>
        <v>-6864</v>
      </c>
      <c r="BC7" s="24">
        <f t="shared" si="15"/>
        <v>-7488</v>
      </c>
      <c r="BD7" s="24">
        <f t="shared" si="15"/>
        <v>-8064</v>
      </c>
      <c r="BE7" s="24">
        <f t="shared" si="15"/>
        <v>-8736</v>
      </c>
      <c r="BF7" s="24">
        <f t="shared" si="15"/>
        <v>-9216</v>
      </c>
      <c r="BG7" s="24">
        <f t="shared" si="15"/>
        <v>-5019.4285714285761</v>
      </c>
      <c r="BH7" s="24">
        <f t="shared" si="15"/>
        <v>-5513.1428571428587</v>
      </c>
      <c r="BI7" s="24">
        <f t="shared" si="15"/>
        <v>-5814.8571428571413</v>
      </c>
      <c r="BJ7" s="24">
        <f t="shared" si="15"/>
        <v>-6144</v>
      </c>
      <c r="BK7" s="24">
        <f t="shared" si="15"/>
        <v>-6253.7142857142826</v>
      </c>
      <c r="BL7" s="42">
        <f t="shared" si="15"/>
        <v>-6061.7142857142826</v>
      </c>
      <c r="BM7" s="24">
        <f t="shared" si="15"/>
        <v>-6144</v>
      </c>
      <c r="BN7" s="24">
        <f t="shared" si="15"/>
        <v>-5836.7999999999956</v>
      </c>
      <c r="BO7" s="43">
        <f t="shared" si="15"/>
        <v>-5616</v>
      </c>
      <c r="BP7" s="24">
        <f t="shared" si="15"/>
        <v>-5120.0000000000036</v>
      </c>
      <c r="BQ7" s="24">
        <f t="shared" si="15"/>
        <v>-4320</v>
      </c>
      <c r="BR7" s="24">
        <f t="shared" si="15"/>
        <v>-2688</v>
      </c>
      <c r="BS7" s="24">
        <f t="shared" si="15"/>
        <v>-7599.9999999999964</v>
      </c>
      <c r="BT7" s="24">
        <f t="shared" si="15"/>
        <v>-7330.9090909090919</v>
      </c>
      <c r="BU7" s="24">
        <f t="shared" si="15"/>
        <v>-7008</v>
      </c>
      <c r="BV7" s="24">
        <f t="shared" si="15"/>
        <v>-6677.3333333333321</v>
      </c>
      <c r="BW7" s="24">
        <f t="shared" si="15"/>
        <v>-6456</v>
      </c>
      <c r="BX7" s="24">
        <f t="shared" si="15"/>
        <v>-6363.4285714285761</v>
      </c>
      <c r="BY7" s="24">
        <f t="shared" si="15"/>
        <v>-6111.9999999999964</v>
      </c>
      <c r="BZ7" s="24">
        <f t="shared" si="15"/>
        <v>-5798.3999999999978</v>
      </c>
      <c r="CA7" s="24">
        <f t="shared" si="15"/>
        <v>-5376</v>
      </c>
      <c r="CB7" s="24">
        <f t="shared" si="15"/>
        <v>-5120.0000000000036</v>
      </c>
      <c r="CC7" s="24">
        <f t="shared" si="15"/>
        <v>-4992</v>
      </c>
      <c r="CD7" s="24">
        <f t="shared" si="15"/>
        <v>-4416</v>
      </c>
      <c r="CE7" s="24">
        <f t="shared" ref="CE7:DY7" si="16">+CE6*168</f>
        <v>-3136.0000000000032</v>
      </c>
      <c r="CF7" s="24">
        <f t="shared" si="16"/>
        <v>-3268.3636363636338</v>
      </c>
      <c r="CG7" s="24">
        <f t="shared" si="16"/>
        <v>-3460.8000000000038</v>
      </c>
      <c r="CH7" s="24">
        <f t="shared" si="16"/>
        <v>-3546.6666666666624</v>
      </c>
      <c r="CI7" s="24">
        <f t="shared" si="16"/>
        <v>-3591</v>
      </c>
      <c r="CJ7" s="24">
        <f t="shared" si="16"/>
        <v>-3648.0000000000014</v>
      </c>
      <c r="CK7" s="24">
        <f t="shared" si="16"/>
        <v>-3751.9999999999968</v>
      </c>
      <c r="CL7" s="24">
        <f t="shared" si="16"/>
        <v>-3998.4000000000019</v>
      </c>
      <c r="CM7" s="24">
        <f t="shared" si="16"/>
        <v>-4158</v>
      </c>
      <c r="CN7" s="24">
        <f t="shared" si="16"/>
        <v>-3976.0000000000032</v>
      </c>
      <c r="CO7" s="24">
        <f t="shared" si="16"/>
        <v>-3444</v>
      </c>
      <c r="CP7" s="24">
        <f t="shared" si="16"/>
        <v>-3024</v>
      </c>
      <c r="CQ7" s="24">
        <f t="shared" si="16"/>
        <v>-4087.9999999999968</v>
      </c>
      <c r="CR7" s="24">
        <f t="shared" si="16"/>
        <v>-4047.2727272727229</v>
      </c>
      <c r="CS7" s="24">
        <f t="shared" si="16"/>
        <v>-3981.5999999999981</v>
      </c>
      <c r="CT7" s="24">
        <f t="shared" si="16"/>
        <v>-3976.0000000000032</v>
      </c>
      <c r="CU7" s="24">
        <f t="shared" si="16"/>
        <v>-4074</v>
      </c>
      <c r="CV7" s="24">
        <f t="shared" si="16"/>
        <v>-3984.0000000000014</v>
      </c>
      <c r="CW7" s="24">
        <f t="shared" si="16"/>
        <v>-4060.0000000000032</v>
      </c>
      <c r="CX7" s="24">
        <f t="shared" si="16"/>
        <v>-4166.4000000000015</v>
      </c>
      <c r="CY7" s="24">
        <f t="shared" si="16"/>
        <v>-4158</v>
      </c>
      <c r="CZ7" s="24">
        <f t="shared" si="16"/>
        <v>-4144.0000000000036</v>
      </c>
      <c r="DA7" s="24">
        <f t="shared" si="16"/>
        <v>-4368</v>
      </c>
      <c r="DB7" s="24">
        <f t="shared" si="16"/>
        <v>-4032</v>
      </c>
      <c r="DC7" s="24">
        <f t="shared" si="16"/>
        <v>-3100.3636363636338</v>
      </c>
      <c r="DD7" s="24">
        <f t="shared" si="16"/>
        <v>-3242.4000000000019</v>
      </c>
      <c r="DE7" s="24">
        <f t="shared" si="16"/>
        <v>-3322.6666666666656</v>
      </c>
      <c r="DF7" s="24">
        <f t="shared" si="16"/>
        <v>-3318</v>
      </c>
      <c r="DG7" s="24">
        <f t="shared" si="16"/>
        <v>-3264.0000000000027</v>
      </c>
      <c r="DH7" s="24">
        <f t="shared" si="16"/>
        <v>-2968.0000000000032</v>
      </c>
      <c r="DI7" s="24">
        <f t="shared" si="16"/>
        <v>-2856</v>
      </c>
      <c r="DJ7" s="24">
        <f t="shared" si="16"/>
        <v>-2898</v>
      </c>
      <c r="DK7" s="24">
        <f t="shared" si="16"/>
        <v>-2743.9999999999968</v>
      </c>
      <c r="DL7" s="24">
        <f t="shared" si="16"/>
        <v>-2688</v>
      </c>
      <c r="DM7" s="24">
        <f t="shared" si="16"/>
        <v>-2016</v>
      </c>
      <c r="DN7" s="24">
        <f t="shared" si="16"/>
        <v>-4642.9090909090892</v>
      </c>
      <c r="DO7" s="24">
        <f t="shared" si="16"/>
        <v>-4642.9090909090892</v>
      </c>
      <c r="DP7" s="24">
        <f t="shared" si="16"/>
        <v>-4737.5999999999985</v>
      </c>
      <c r="DQ7" s="24">
        <f t="shared" si="16"/>
        <v>-4834.6666666666661</v>
      </c>
      <c r="DR7" s="24">
        <f t="shared" si="16"/>
        <v>-4914</v>
      </c>
      <c r="DS7" s="24">
        <f t="shared" si="16"/>
        <v>-4967.9999999999973</v>
      </c>
      <c r="DT7" s="24">
        <f t="shared" si="16"/>
        <v>-5011.9999999999964</v>
      </c>
      <c r="DU7" s="24">
        <f t="shared" si="16"/>
        <v>-5006.4000000000015</v>
      </c>
      <c r="DV7" s="24">
        <f t="shared" si="16"/>
        <v>-4914</v>
      </c>
      <c r="DW7" s="24">
        <f t="shared" si="16"/>
        <v>-5544</v>
      </c>
      <c r="DX7" s="24">
        <f t="shared" si="16"/>
        <v>-4452</v>
      </c>
      <c r="DY7" s="24">
        <f t="shared" si="16"/>
        <v>-3528</v>
      </c>
    </row>
    <row r="8" spans="1:13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76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7"/>
      <c r="BA8" s="17"/>
      <c r="BB8" s="17"/>
      <c r="BC8" s="17"/>
      <c r="BD8" s="15"/>
      <c r="BE8" s="17"/>
      <c r="BF8" s="17"/>
      <c r="BG8" s="17"/>
      <c r="BH8" s="17"/>
      <c r="BI8" s="17"/>
      <c r="BJ8" s="14"/>
      <c r="BK8" s="16"/>
      <c r="BL8" s="1"/>
      <c r="BM8" s="1"/>
      <c r="BO8" s="37"/>
    </row>
    <row r="9" spans="1:134" x14ac:dyDescent="0.25">
      <c r="A9" s="75" t="s">
        <v>35</v>
      </c>
      <c r="D9" s="1" t="s">
        <v>36</v>
      </c>
      <c r="E9" s="25">
        <f>101236.18-58128.12-17225-16154</f>
        <v>9729.0599999999904</v>
      </c>
      <c r="F9" s="25">
        <f>97443.76-55821.8-16400-16154</f>
        <v>9067.9599999999919</v>
      </c>
      <c r="G9" s="25">
        <f>92589.29-53952.82-16137.5-15925</f>
        <v>6573.9699999999939</v>
      </c>
      <c r="H9" s="25">
        <f>73821.2-50584.99-15150-4311</f>
        <v>3775.2099999999991</v>
      </c>
      <c r="I9" s="25">
        <f>61818.93-46087.83-13400-0</f>
        <v>2331.0999999999985</v>
      </c>
      <c r="J9" s="25">
        <f>54430.63-41199.5-11887.5-0</f>
        <v>1343.6299999999974</v>
      </c>
      <c r="K9" s="25">
        <f>152011.2-63440.08-18525-40978</f>
        <v>29068.12000000001</v>
      </c>
      <c r="L9" s="25">
        <f>148828.41-63185.73-18037.5-40373</f>
        <v>27232.179999999993</v>
      </c>
      <c r="M9" s="25">
        <f>143441.49-63094.89-18025-35565</f>
        <v>26756.599999999991</v>
      </c>
      <c r="N9" s="25">
        <f>137887.65-62822.39-17925-35565</f>
        <v>21575.259999999995</v>
      </c>
      <c r="O9" s="25">
        <f>132670.42-61423.4-17662.5-35565</f>
        <v>18019.520000000019</v>
      </c>
      <c r="P9" s="25">
        <f>125153-59279.73-16875-35565</f>
        <v>13433.26999999999</v>
      </c>
      <c r="Q9" s="92">
        <f>120943.04-58135.24-16175-35565</f>
        <v>11067.799999999996</v>
      </c>
      <c r="R9" s="45">
        <f>117753.54-56602.56-15412.5-35381</f>
        <v>10357.479999999996</v>
      </c>
      <c r="S9" s="45">
        <f>97078.39-55210.38-15062.5-11784</f>
        <v>15021.510000000002</v>
      </c>
      <c r="T9" s="45">
        <f>100715.68-77376.26-15362.5-0</f>
        <v>7976.9199999999983</v>
      </c>
      <c r="U9" s="45">
        <f>93347.26-73997.26-14112.5-0</f>
        <v>5237.5</v>
      </c>
      <c r="V9" s="45">
        <f>85269.27-69266.44-12650-0</f>
        <v>3352.8300000000017</v>
      </c>
      <c r="W9" s="45">
        <f>127418.29-53683.65-17825-19732</f>
        <v>36177.639999999985</v>
      </c>
      <c r="X9" s="45">
        <f>123459.28-53347.65-17825-19299</f>
        <v>32987.630000000005</v>
      </c>
      <c r="Y9" s="45">
        <f>118135.48-53147.8-17775-15915</f>
        <v>31297.679999999993</v>
      </c>
      <c r="Z9" s="45">
        <f>111887.73-52857.13-17637.5-15915</f>
        <v>25478.1</v>
      </c>
      <c r="AA9" s="45">
        <f>102504.29-52112.29-17300-15915</f>
        <v>17176.999999999993</v>
      </c>
      <c r="AB9" s="45">
        <f>98487.9-50604.45-16787.5-15915</f>
        <v>15180.949999999997</v>
      </c>
      <c r="AC9" s="45">
        <f>94632.81-49150.51-15875-15915</f>
        <v>13692.299999999996</v>
      </c>
      <c r="AD9" s="45">
        <f>90361.96-47565.34-15162.5-15915</f>
        <v>11719.12000000001</v>
      </c>
      <c r="AE9" s="45">
        <f>86769.41-46166.51-15012.5-15915</f>
        <v>9675.4000000000015</v>
      </c>
      <c r="AF9" s="45">
        <f>71976.42-43278.01-13987.5-6780</f>
        <v>7930.9099999999962</v>
      </c>
      <c r="AG9" s="45">
        <f>58914.62-40800.35-13637.5-0</f>
        <v>4476.7700000000041</v>
      </c>
      <c r="AH9" s="45">
        <f>51255.27-36316.34-12312.5-0</f>
        <v>2626.4300000000003</v>
      </c>
      <c r="AI9" s="45">
        <f>135440.58-60129.91-22537.5-25554</f>
        <v>27219.169999999984</v>
      </c>
      <c r="AJ9" s="45">
        <f>133657.88-59937.91-22387.5-25401</f>
        <v>25931.47</v>
      </c>
      <c r="AK9" s="45">
        <f>126840.28-59745.91-22362.5-19677</f>
        <v>25054.869999999995</v>
      </c>
      <c r="AL9" s="45">
        <f>123744.26-59345.91-22262.5-19377</f>
        <v>22758.849999999991</v>
      </c>
      <c r="AM9" s="45">
        <f>96019.13-46916.5-10512.5-19377</f>
        <v>19213.130000000005</v>
      </c>
      <c r="AN9" s="45">
        <f>93685.95-46596.5-10512.5-19377</f>
        <v>17199.949999999997</v>
      </c>
      <c r="AO9" s="45">
        <f>87917.28-42980.5-10512.5-19377</f>
        <v>15047.279999999999</v>
      </c>
      <c r="AP9" s="45">
        <f>85737.49-42756.5-10362.5-19377</f>
        <v>13241.490000000005</v>
      </c>
      <c r="AQ9" s="45">
        <f>82602.49-40579.33-10362.5-20038</f>
        <v>11622.660000000003</v>
      </c>
      <c r="AR9" s="45">
        <f>64948.22-40195.33-10362.5-6194</f>
        <v>8196.39</v>
      </c>
      <c r="AS9" s="45">
        <f>56574.79-40065.83-10362.5-0</f>
        <v>6146.4599999999991</v>
      </c>
      <c r="AT9" s="45">
        <f>53110.31-39662.17-10212.5-0</f>
        <v>3235.6399999999994</v>
      </c>
      <c r="AU9" s="45">
        <f>140839.18-61188.17-22112.5-17209.5</f>
        <v>40329.009999999995</v>
      </c>
      <c r="AV9" s="45">
        <f>135643.29-59956.17-21925-16803.5</f>
        <v>36958.62000000001</v>
      </c>
      <c r="AW9" s="45">
        <f>129605.21-59860.17-21925-13399.5</f>
        <v>34420.540000000008</v>
      </c>
      <c r="AX9" s="45">
        <f>120415.64-59284.17-21787.5-12949.5</f>
        <v>26394.47</v>
      </c>
      <c r="AY9" s="45">
        <f>113827.9-58674.67-21437.5-12949.5</f>
        <v>20766.229999999996</v>
      </c>
      <c r="AZ9" s="45">
        <f>109455.3-57938.67-21212.5-12949.5</f>
        <v>17354.630000000005</v>
      </c>
      <c r="BA9" s="45">
        <f>104933.41-56738.67-20262.5-12949.5</f>
        <v>14982.740000000005</v>
      </c>
      <c r="BB9" s="45">
        <f>101048.75-55378.67-19662.5-12949.5</f>
        <v>13058.080000000002</v>
      </c>
      <c r="BC9" s="45">
        <f>95806.56-54098.67-18887.5-13014</f>
        <v>9806.39</v>
      </c>
      <c r="BD9" s="45">
        <f>81144.43-52498.67-18150-2073</f>
        <v>8422.7599999999948</v>
      </c>
      <c r="BE9" s="45">
        <f>69786.97-48718.17-16912.5-0</f>
        <v>4156.3000000000029</v>
      </c>
      <c r="BF9" s="45">
        <f>55961.81-42379.83-11800-0</f>
        <v>1781.9799999999959</v>
      </c>
      <c r="BG9" s="45">
        <f>138799.03-64867.67-21912.5-17986</f>
        <v>34032.86</v>
      </c>
      <c r="BH9" s="45">
        <f>133534.81-64755.67-21537.5-16564</f>
        <v>30677.64</v>
      </c>
      <c r="BI9" s="45">
        <f>126103.4-64323.67-21412.5-11643</f>
        <v>28724.229999999996</v>
      </c>
      <c r="BJ9" s="45">
        <f>118942.92-63907.67-21262.5-10851</f>
        <v>22921.75</v>
      </c>
      <c r="BK9" s="45">
        <f>112645.56-63250.17-21062.5-10851</f>
        <v>17481.89</v>
      </c>
      <c r="BL9" s="25">
        <f>105714.78-61650.17-20562.5-10851</f>
        <v>12651.11</v>
      </c>
      <c r="BM9" s="25">
        <f>(101207.39-59922.17-20000-10851)</f>
        <v>10434.220000000001</v>
      </c>
      <c r="BN9" s="25">
        <f>(96736.21-58194.17-18837.5-10851)</f>
        <v>8853.5400000000081</v>
      </c>
      <c r="BO9" s="47">
        <f>(90616.76-55874.17-18237.5 -9511)</f>
        <v>6994.0899999999965</v>
      </c>
      <c r="BP9" s="25">
        <f>(85270.86-52956.17-17575-9298)</f>
        <v>5441.6900000000023</v>
      </c>
      <c r="BQ9" s="25">
        <f>(78275.58-49836.17-16250-8497)</f>
        <v>3692.4100000000035</v>
      </c>
      <c r="BR9" s="25">
        <f>(67368.02-45912.67-14975-3559)</f>
        <v>2921.3500000000058</v>
      </c>
      <c r="BS9" s="25">
        <f>(137306.14-67877.92-20200-30214)</f>
        <v>19014.220000000016</v>
      </c>
      <c r="BT9" s="25">
        <f>(136448.28-67877.92-20200-30114)</f>
        <v>18256.36</v>
      </c>
      <c r="BU9" s="25">
        <f>(134507.89-67669.92-20125-30114)</f>
        <v>16598.970000000016</v>
      </c>
      <c r="BV9" s="25">
        <f>(132419.84-67269.92-20000-30114)</f>
        <v>15035.919999999998</v>
      </c>
      <c r="BW9" s="25">
        <f>(130087.57-66753.17-19687.5-30114)</f>
        <v>13532.900000000009</v>
      </c>
      <c r="BX9" s="25">
        <f>(127052.36-65745.17-19381.63-30114)</f>
        <v>11811.559999999998</v>
      </c>
      <c r="BY9" s="25">
        <f>(123915.64-30114-18875-64465.17)</f>
        <v>10461.470000000001</v>
      </c>
      <c r="BZ9" s="25">
        <f>(119400.68-30114-17675-62689.17)</f>
        <v>8922.5099999999948</v>
      </c>
      <c r="CA9" s="25">
        <f>(115089.98-30114-16637.5-60369.17)</f>
        <v>7969.3099999999977</v>
      </c>
      <c r="CB9" s="25">
        <f>(104401.99-24697-15950-57627.17)</f>
        <v>6127.820000000007</v>
      </c>
      <c r="CC9" s="25">
        <f>(77385.8-5317-14845.47-52892.33)</f>
        <v>4331</v>
      </c>
      <c r="CD9" s="25">
        <f>(62340.33-13675-46824.33)</f>
        <v>1841</v>
      </c>
      <c r="CE9" s="25">
        <f>(154801.49-68573.91-39133-19800)</f>
        <v>27294.579999999987</v>
      </c>
      <c r="CF9" s="25">
        <f>(153315.22-68538.91-39133-19950)</f>
        <v>25693.309999999998</v>
      </c>
      <c r="CG9" s="25">
        <f>(151296.12-68272.91-39133-19762.5)</f>
        <v>24127.709999999992</v>
      </c>
      <c r="CH9" s="25">
        <f>(147112.31-67824.91-39133-19550)</f>
        <v>20604.399999999994</v>
      </c>
      <c r="CI9" s="25">
        <f>(142407.77-39133-66893.91-19387.5)</f>
        <v>16993.359999999986</v>
      </c>
      <c r="CJ9" s="25">
        <f>(139856.59-39133-66263.91-19062.5)</f>
        <v>15397.179999999993</v>
      </c>
      <c r="CK9" s="25">
        <f>(136007.43-39133-64842.16-18587.5)</f>
        <v>13444.76999999999</v>
      </c>
      <c r="CL9" s="25">
        <f>(131771.28-63099-39133-17437.5)</f>
        <v>12101.779999999999</v>
      </c>
      <c r="CM9" s="25">
        <f>(125494.11-39091-60656.16-16737.5)</f>
        <v>9009.4499999999971</v>
      </c>
      <c r="CN9" s="25">
        <f>(111292.57-57086.5-15950-31766)</f>
        <v>6490.070000000007</v>
      </c>
      <c r="CO9" s="25">
        <f>(80242.26-8204-15400-52420.59)</f>
        <v>4217.6699999999983</v>
      </c>
      <c r="CP9" s="25">
        <f>(64009.71-13787.5-47447.59)</f>
        <v>2774.6200000000026</v>
      </c>
      <c r="CQ9" s="8">
        <v>31472.04</v>
      </c>
      <c r="CR9" s="8">
        <v>30311.14</v>
      </c>
      <c r="CS9" s="8">
        <v>28557.37</v>
      </c>
      <c r="CT9" s="8">
        <v>27103.56</v>
      </c>
      <c r="CU9" s="8">
        <v>24629.8</v>
      </c>
      <c r="CV9" s="48">
        <f>152288.03-70003.48-19432.5-39847</f>
        <v>23005.050000000003</v>
      </c>
      <c r="CW9" s="48">
        <f>147875.59-39847-68561.48-18545</f>
        <v>20922.11</v>
      </c>
      <c r="CX9" s="48">
        <f>137852.19-67063.48-17420-36040</f>
        <v>17328.710000000006</v>
      </c>
      <c r="CY9" s="48">
        <f>127375.56-29573-65297.23-17057.5</f>
        <v>15447.829999999994</v>
      </c>
      <c r="CZ9" s="48">
        <f>100592.34-62570.56-16307.5-8244</f>
        <v>13470.279999999999</v>
      </c>
      <c r="DA9" s="48">
        <f>80791.57-56664.15-15745</f>
        <v>8382.4200000000055</v>
      </c>
      <c r="DB9" s="48">
        <f>70654.5-14395-50670.65</f>
        <v>5588.8499999999985</v>
      </c>
      <c r="DC9" s="48">
        <f>186541.69-50742-73758.84-21200</f>
        <v>40840.850000000006</v>
      </c>
      <c r="DD9" s="48">
        <f>179593.44-50742-73555.84-21187.5</f>
        <v>34108.100000000006</v>
      </c>
      <c r="DE9" s="48">
        <f>168214.77-73037.84-21062.5-50742</f>
        <v>23372.429999999993</v>
      </c>
      <c r="DF9" s="48">
        <f>165275.02-50742-72421.84-20762.5</f>
        <v>21348.679999999993</v>
      </c>
      <c r="DG9" s="48">
        <f>161997.84-50677-20625-71189.84</f>
        <v>19506</v>
      </c>
      <c r="DH9" s="48">
        <f>158489.58-50677-69999.84-19787.5</f>
        <v>18025.239999999991</v>
      </c>
      <c r="DI9" s="48">
        <f>152773.52-18587.5-68899.94-49811</f>
        <v>15475.079999999987</v>
      </c>
      <c r="DJ9" s="48">
        <f>142850.75-43480-66953.84-18050</f>
        <v>14366.910000000003</v>
      </c>
      <c r="DK9" s="48">
        <f>117858.96-25433-64007.84-17262.5</f>
        <v>11155.62000000001</v>
      </c>
      <c r="DL9" s="48">
        <f>103380.46-19355-60530.17-16575</f>
        <v>6920.2900000000081</v>
      </c>
      <c r="DM9" s="48">
        <f>91409.49-17515-53484.25-14875</f>
        <v>5535.2400000000052</v>
      </c>
      <c r="ED9" s="1" t="s">
        <v>37</v>
      </c>
    </row>
    <row r="10" spans="1:134" x14ac:dyDescent="0.25">
      <c r="A10" s="75" t="s">
        <v>38</v>
      </c>
      <c r="D10" s="1" t="s">
        <v>39</v>
      </c>
      <c r="E10" s="26">
        <f>(164303-8040-24000-23806)/12*6</f>
        <v>54228.5</v>
      </c>
      <c r="F10" s="26">
        <f>(164303-8040-24000-23806)/12*5</f>
        <v>45190.416666666672</v>
      </c>
      <c r="G10" s="26">
        <f>(164303-8040-24000-23806)/12*4</f>
        <v>36152.333333333336</v>
      </c>
      <c r="H10" s="26">
        <f>(164303-8040-24000-23806)/12*3</f>
        <v>27114.25</v>
      </c>
      <c r="I10" s="26">
        <f>(164303-8040-24000-23806)/12*2</f>
        <v>18076.166666666668</v>
      </c>
      <c r="J10" s="26">
        <f>(164303-8040-24000-23806)/12*1</f>
        <v>9038.0833333333339</v>
      </c>
      <c r="K10" s="26">
        <f>(165901-74055-20000-46731)/12*12</f>
        <v>25115</v>
      </c>
      <c r="L10" s="26">
        <f>(165901-74055-20000-46731)/12*11</f>
        <v>23022.083333333332</v>
      </c>
      <c r="M10" s="26">
        <f>(165901-74055-20000-46731)/12*10</f>
        <v>20929.166666666664</v>
      </c>
      <c r="N10" s="26">
        <f>(165901-74055-20000-46731)/12*9</f>
        <v>18836.25</v>
      </c>
      <c r="O10" s="26">
        <f>(165901-74055-20000-46731)/12*8</f>
        <v>16743.333333333332</v>
      </c>
      <c r="P10" s="26">
        <f>(165901-74055-20000-46731)/12*7</f>
        <v>14650.416666666666</v>
      </c>
      <c r="Q10" s="93">
        <f>(165901-74055-20000-46731)/12*6</f>
        <v>12557.5</v>
      </c>
      <c r="R10" s="50">
        <f>(165901-74055-20000-46731)/12*5</f>
        <v>10464.583333333332</v>
      </c>
      <c r="S10" s="50">
        <f>(165901-74055-20000-46731)/12*4</f>
        <v>8371.6666666666661</v>
      </c>
      <c r="T10" s="50">
        <f>(165901-74055-20000-46731)/12*3</f>
        <v>6278.75</v>
      </c>
      <c r="U10" s="50">
        <f>(165901-74055-20000-46731)/12*2</f>
        <v>4185.833333333333</v>
      </c>
      <c r="V10" s="50">
        <f>(165901-74055-20000-46731)/12*1</f>
        <v>2092.9166666666665</v>
      </c>
      <c r="W10" s="50">
        <f>(165901-74055-20000-46731)/12*12</f>
        <v>25115</v>
      </c>
      <c r="X10" s="50">
        <f>(165901-74055-20000-46731)/12*11</f>
        <v>23022.083333333332</v>
      </c>
      <c r="Y10" s="50">
        <f>(165901-74055-20000-46731)/12*10</f>
        <v>20929.166666666664</v>
      </c>
      <c r="Z10" s="50">
        <f>(165901-74055-20000-46731)/12*9</f>
        <v>18836.25</v>
      </c>
      <c r="AA10" s="50">
        <f>(165901-74055-20000-46731)/12*8</f>
        <v>16743.333333333332</v>
      </c>
      <c r="AB10" s="50">
        <f>(165901-74055-20000-46731)/12*7</f>
        <v>14650.416666666666</v>
      </c>
      <c r="AC10" s="50">
        <f>(165901-74055-20000-46731)/12*6</f>
        <v>12557.5</v>
      </c>
      <c r="AD10" s="50">
        <f>(165901-74055-20000-46731)/12*5</f>
        <v>10464.583333333332</v>
      </c>
      <c r="AE10" s="50">
        <f>(165901-74055-20000-46731)/12*4</f>
        <v>8371.6666666666661</v>
      </c>
      <c r="AF10" s="50">
        <f>(165901-74055-20000-46731)/12*3</f>
        <v>6278.75</v>
      </c>
      <c r="AG10" s="50">
        <f>(165901-74055-20000-46731)/12*2</f>
        <v>4185.833333333333</v>
      </c>
      <c r="AH10" s="50">
        <f>(165901-74055-20000-46731)/12*1</f>
        <v>2092.9166666666665</v>
      </c>
      <c r="AI10" s="50">
        <f>(165901-74055-20000-46731)/12*12</f>
        <v>25115</v>
      </c>
      <c r="AJ10" s="50">
        <f>(165901-74055-20000-46731)/12*11</f>
        <v>23022.083333333332</v>
      </c>
      <c r="AK10" s="50">
        <f>(165901-74055-20000-46731)/12*10</f>
        <v>20929.166666666664</v>
      </c>
      <c r="AL10" s="50">
        <f>(165901-74055-20000-46731)/12*9</f>
        <v>18836.25</v>
      </c>
      <c r="AM10" s="50">
        <f>(165901-74055-20000-46731)/12*8</f>
        <v>16743.333333333332</v>
      </c>
      <c r="AN10" s="50">
        <f>(165901-74055-20000-46731)/12*7</f>
        <v>14650.416666666666</v>
      </c>
      <c r="AO10" s="50">
        <f>(165901-74055-20000-46731)/12*6</f>
        <v>12557.5</v>
      </c>
      <c r="AP10" s="50">
        <f>(165901-74055-20000-46731)/12*5</f>
        <v>10464.583333333332</v>
      </c>
      <c r="AQ10" s="50">
        <f>(165901-74055-20000-46731)/12*4</f>
        <v>8371.6666666666661</v>
      </c>
      <c r="AR10" s="50">
        <f>(165901-74055-20000-46731)/12*3</f>
        <v>6278.75</v>
      </c>
      <c r="AS10" s="50">
        <f>(165901-74055-20000-46731)/12*2</f>
        <v>4185.833333333333</v>
      </c>
      <c r="AT10" s="50">
        <f>(165901-74055-20000-46731)/12*1</f>
        <v>2092.9166666666665</v>
      </c>
      <c r="AU10" s="50">
        <f>(165901-74055-20000-46731)/12*12</f>
        <v>25115</v>
      </c>
      <c r="AV10" s="50">
        <f>(165901-74055-20000-46731)/12*11</f>
        <v>23022.083333333332</v>
      </c>
      <c r="AW10" s="50">
        <f>(165901-74055-20000-46731)/12*10</f>
        <v>20929.166666666664</v>
      </c>
      <c r="AX10" s="50">
        <f>(165901-74055-20000-46731)/12*9</f>
        <v>18836.25</v>
      </c>
      <c r="AY10" s="50">
        <f>(165901-74055-20000-46731)/12*8</f>
        <v>16743.333333333332</v>
      </c>
      <c r="AZ10" s="50">
        <f>(165901-74055-20000-46731)/12*7</f>
        <v>14650.416666666666</v>
      </c>
      <c r="BA10" s="50">
        <f>(165901-74055-20000-46731)/12*6</f>
        <v>12557.5</v>
      </c>
      <c r="BB10" s="50">
        <f>(165901-74055-20000-46731)/12*5</f>
        <v>10464.583333333332</v>
      </c>
      <c r="BC10" s="50">
        <f>(165901-74055-20000-46731)/12*4</f>
        <v>8371.6666666666661</v>
      </c>
      <c r="BD10" s="50">
        <f>(165901-74055-20000-46731)/12*3</f>
        <v>6278.75</v>
      </c>
      <c r="BE10" s="50">
        <f>(165901-74055-20000-46731)/12*2</f>
        <v>4185.833333333333</v>
      </c>
      <c r="BF10" s="50">
        <f>(165901-74055-20000-46731)/12*1</f>
        <v>2092.9166666666665</v>
      </c>
      <c r="BG10" s="50">
        <f>(165901-74055-20000-46731)/12*12</f>
        <v>25115</v>
      </c>
      <c r="BH10" s="50">
        <f>(165901-74055-20000-46731)/12*11</f>
        <v>23022.083333333332</v>
      </c>
      <c r="BI10" s="50">
        <f>(165901-74055-20000-46731)/12*10</f>
        <v>20929.166666666664</v>
      </c>
      <c r="BJ10" s="50">
        <f>(165901-74055-20000-46731)/12*9</f>
        <v>18836.25</v>
      </c>
      <c r="BK10" s="50">
        <f>(165901-74055-20000-46731)/12*8</f>
        <v>16743.333333333332</v>
      </c>
      <c r="BL10" s="26">
        <f>(165901-74055-20000-46731)/12*7</f>
        <v>14650.416666666666</v>
      </c>
      <c r="BM10" s="26">
        <f>(165901-74055-20000-46731)/12*6</f>
        <v>12557.5</v>
      </c>
      <c r="BN10" s="26">
        <f>(165901-74055-20000-46731)/12*5</f>
        <v>10464.583333333332</v>
      </c>
      <c r="BO10" s="52">
        <f>(165901-74055-20000-46731)/12*4</f>
        <v>8371.6666666666661</v>
      </c>
      <c r="BP10" s="26">
        <f>(165901-74055-20000-46731)/12*3</f>
        <v>6278.75</v>
      </c>
      <c r="BQ10" s="26">
        <f>(165901-74055-20000-46731)/12*2</f>
        <v>4185.833333333333</v>
      </c>
      <c r="BR10" s="26">
        <f>(165901-74055-20000-46731)/12*1</f>
        <v>2092.9166666666665</v>
      </c>
      <c r="BS10" s="26">
        <f>(173742-84165-20000-44486)/12*12</f>
        <v>25091</v>
      </c>
      <c r="BT10" s="26">
        <f>(173742-84165-20000-44486)/12*11</f>
        <v>23000.083333333332</v>
      </c>
      <c r="BU10" s="26">
        <f>(173742-84165-20000-44486)/12*10</f>
        <v>20909.166666666664</v>
      </c>
      <c r="BV10" s="26">
        <f>(173742-84165-20000-44486)/12*9</f>
        <v>18818.25</v>
      </c>
      <c r="BW10" s="26">
        <f>(173742-84165-20000-44486)/12*8</f>
        <v>16727.333333333332</v>
      </c>
      <c r="BX10" s="26">
        <f>(173742-84165-20000-44486)/12*7</f>
        <v>14636.416666666666</v>
      </c>
      <c r="BY10" s="26">
        <f>(173742-84165-20000-44486)/12*6</f>
        <v>12545.5</v>
      </c>
      <c r="BZ10" s="26">
        <f>(173742-84165-20000-44486)/12*5</f>
        <v>10454.583333333332</v>
      </c>
      <c r="CA10" s="26">
        <f>(173742-84165-20000-44486)/12*4</f>
        <v>8363.6666666666661</v>
      </c>
      <c r="CB10" s="26">
        <f>(173742-84165-20000-44486)/12*3</f>
        <v>6272.75</v>
      </c>
      <c r="CC10" s="26">
        <f>(173742-84165-20000-44486)/12*2</f>
        <v>4181.833333333333</v>
      </c>
      <c r="CD10" s="26">
        <f>(173742-84165-20000-44486)/12*1</f>
        <v>2090.9166666666665</v>
      </c>
      <c r="CE10" s="26">
        <f>(161708-73902-42162-20000)/12*12</f>
        <v>25644</v>
      </c>
      <c r="CF10" s="26">
        <f>(161708-73902-42162-20000)/12*11</f>
        <v>23507</v>
      </c>
      <c r="CG10" s="26">
        <f>(161708-73902-42162-20000)/12*10</f>
        <v>21370</v>
      </c>
      <c r="CH10" s="26">
        <f>(161708-73902-42162-20000)/12*9</f>
        <v>19233</v>
      </c>
      <c r="CI10" s="26">
        <f>(161708-73902-42162-20000)/12*8</f>
        <v>17096</v>
      </c>
      <c r="CJ10" s="26">
        <f>(161708-73902-42162-20000)/12*7</f>
        <v>14959</v>
      </c>
      <c r="CK10" s="26">
        <f>(161708-73902-42162-20000)/12*6</f>
        <v>12822</v>
      </c>
      <c r="CL10" s="26">
        <f>(161708-73902-42162-20000)/12*5</f>
        <v>10685</v>
      </c>
      <c r="CM10" s="26">
        <f>(161708-73902-42162-20000)/12*4</f>
        <v>8548</v>
      </c>
      <c r="CN10" s="26">
        <f>(161708-73902-42162-20000)/12*3</f>
        <v>6411</v>
      </c>
      <c r="CO10" s="26">
        <f>(161708-73902-42162-20000)/12*2</f>
        <v>4274</v>
      </c>
      <c r="CP10" s="26">
        <f>(161708-73902-42162-20000)/12*1</f>
        <v>2137</v>
      </c>
      <c r="CQ10" s="53">
        <f>(174743-45101-78942-20000)/12*12</f>
        <v>30700</v>
      </c>
      <c r="CR10" s="53">
        <f>(174743-45101-78942-20000)/12*11</f>
        <v>28141.666666666668</v>
      </c>
      <c r="CS10" s="53">
        <f>(174743-45101-78942-20000)/12*10</f>
        <v>25583.333333333336</v>
      </c>
      <c r="CT10" s="53">
        <f>(174743-45101-78942-20000)/12*9</f>
        <v>23025</v>
      </c>
      <c r="CU10" s="53">
        <f>(174743-45101-78942-20000)/12*8</f>
        <v>20466.666666666668</v>
      </c>
      <c r="CV10" s="48">
        <f>(174743-45101-78942-20000)/12*7</f>
        <v>17908.333333333336</v>
      </c>
      <c r="CW10" s="48">
        <f>(174743-45101-78942-20000)/12*6</f>
        <v>15350</v>
      </c>
      <c r="CX10" s="48">
        <f>(174743-45101-78942-20000)/12*5</f>
        <v>12791.666666666668</v>
      </c>
      <c r="CY10" s="48">
        <f>(174743-45101-78942-20000)/12*4</f>
        <v>10233.333333333334</v>
      </c>
      <c r="CZ10" s="48">
        <f>(174743-45101-78942-20000)/12*3</f>
        <v>7675</v>
      </c>
      <c r="DA10" s="48">
        <f>(174743-45101-78942-20000)/12*2</f>
        <v>5116.666666666667</v>
      </c>
      <c r="DB10" s="48">
        <f>(174743-45101-78942-20000)/12</f>
        <v>2558.3333333333335</v>
      </c>
      <c r="DC10" s="48">
        <f>(58217-18000)/12*11</f>
        <v>36865.583333333328</v>
      </c>
      <c r="DD10" s="48">
        <f>(58217-18000)/12*10</f>
        <v>33514.166666666664</v>
      </c>
      <c r="DE10" s="48">
        <f>(58217-18000)/12*9</f>
        <v>30162.75</v>
      </c>
      <c r="DF10" s="48">
        <f>(58217-18000)/12*8</f>
        <v>26811.333333333332</v>
      </c>
      <c r="DG10" s="48">
        <f>(58217-18000)/12*7</f>
        <v>23459.916666666664</v>
      </c>
      <c r="DH10" s="48">
        <f>(58217-18000)/12*6</f>
        <v>20108.5</v>
      </c>
      <c r="DI10" s="48">
        <f>(58217-18000)/12*5</f>
        <v>16757.083333333332</v>
      </c>
      <c r="DJ10" s="48">
        <f>(58217-18000)/12*4</f>
        <v>13405.666666666666</v>
      </c>
      <c r="DK10" s="48">
        <f>(58217-18000)/12*3</f>
        <v>10054.25</v>
      </c>
      <c r="DL10" s="48">
        <f>(58217-18000)/12*2</f>
        <v>6702.833333333333</v>
      </c>
      <c r="DM10" s="48">
        <f>(58217-18000)/12</f>
        <v>3351.4166666666665</v>
      </c>
    </row>
    <row r="11" spans="1:134" x14ac:dyDescent="0.25">
      <c r="D11" s="1" t="s">
        <v>40</v>
      </c>
      <c r="E11" s="24">
        <f t="shared" ref="E11:F11" si="17">+E9-E10</f>
        <v>-44499.44000000001</v>
      </c>
      <c r="F11" s="24">
        <f t="shared" si="17"/>
        <v>-36122.45666666668</v>
      </c>
      <c r="G11" s="24">
        <f t="shared" ref="G11:H11" si="18">+G9-G10</f>
        <v>-29578.363333333342</v>
      </c>
      <c r="H11" s="24">
        <f t="shared" si="18"/>
        <v>-23339.040000000001</v>
      </c>
      <c r="I11" s="24">
        <f t="shared" ref="I11:J11" si="19">+I9-I10</f>
        <v>-15745.066666666669</v>
      </c>
      <c r="J11" s="24">
        <f t="shared" si="19"/>
        <v>-7694.4533333333366</v>
      </c>
      <c r="K11" s="24">
        <f t="shared" ref="K11:BV11" si="20">+K9-K10</f>
        <v>3953.1200000000099</v>
      </c>
      <c r="L11" s="24">
        <f t="shared" si="20"/>
        <v>4210.0966666666609</v>
      </c>
      <c r="M11" s="24">
        <f t="shared" si="20"/>
        <v>5827.433333333327</v>
      </c>
      <c r="N11" s="24">
        <f t="shared" si="20"/>
        <v>2739.0099999999948</v>
      </c>
      <c r="O11" s="24">
        <f t="shared" si="20"/>
        <v>1276.1866666666865</v>
      </c>
      <c r="P11" s="24">
        <f t="shared" si="20"/>
        <v>-1217.1466666666765</v>
      </c>
      <c r="Q11" s="91">
        <f t="shared" si="20"/>
        <v>-1489.7000000000044</v>
      </c>
      <c r="R11" s="83">
        <f t="shared" si="20"/>
        <v>-107.1033333333362</v>
      </c>
      <c r="S11" s="83">
        <f t="shared" si="20"/>
        <v>6649.843333333336</v>
      </c>
      <c r="T11" s="83">
        <f t="shared" si="20"/>
        <v>1698.1699999999983</v>
      </c>
      <c r="U11" s="83">
        <f t="shared" si="20"/>
        <v>1051.666666666667</v>
      </c>
      <c r="V11" s="83">
        <f t="shared" si="20"/>
        <v>1259.9133333333352</v>
      </c>
      <c r="W11" s="83">
        <f t="shared" si="20"/>
        <v>11062.639999999985</v>
      </c>
      <c r="X11" s="83">
        <f t="shared" si="20"/>
        <v>9965.5466666666725</v>
      </c>
      <c r="Y11" s="83">
        <f t="shared" si="20"/>
        <v>10368.513333333329</v>
      </c>
      <c r="Z11" s="83">
        <f t="shared" si="20"/>
        <v>6641.8499999999985</v>
      </c>
      <c r="AA11" s="83">
        <f t="shared" si="20"/>
        <v>433.6666666666606</v>
      </c>
      <c r="AB11" s="24">
        <f t="shared" si="20"/>
        <v>530.53333333333103</v>
      </c>
      <c r="AC11" s="83">
        <f t="shared" si="20"/>
        <v>1134.7999999999956</v>
      </c>
      <c r="AD11" s="83">
        <f t="shared" si="20"/>
        <v>1254.5366666666778</v>
      </c>
      <c r="AE11" s="83">
        <f t="shared" si="20"/>
        <v>1303.7333333333354</v>
      </c>
      <c r="AF11" s="24">
        <f t="shared" si="20"/>
        <v>1652.1599999999962</v>
      </c>
      <c r="AG11" s="24">
        <f t="shared" si="20"/>
        <v>290.93666666667104</v>
      </c>
      <c r="AH11" s="24">
        <f t="shared" si="20"/>
        <v>533.51333333333378</v>
      </c>
      <c r="AI11" s="24">
        <f t="shared" si="20"/>
        <v>2104.1699999999837</v>
      </c>
      <c r="AJ11" s="24">
        <f t="shared" si="20"/>
        <v>2909.386666666669</v>
      </c>
      <c r="AK11" s="24">
        <f t="shared" si="20"/>
        <v>4125.7033333333311</v>
      </c>
      <c r="AL11" s="24">
        <f t="shared" si="20"/>
        <v>3922.5999999999913</v>
      </c>
      <c r="AM11" s="24">
        <f t="shared" si="20"/>
        <v>2469.7966666666725</v>
      </c>
      <c r="AN11" s="24">
        <f t="shared" si="20"/>
        <v>2549.533333333331</v>
      </c>
      <c r="AO11" s="24">
        <f t="shared" si="20"/>
        <v>2489.7799999999988</v>
      </c>
      <c r="AP11" s="24">
        <f t="shared" si="20"/>
        <v>2776.9066666666731</v>
      </c>
      <c r="AQ11" s="24">
        <f t="shared" si="20"/>
        <v>3250.9933333333374</v>
      </c>
      <c r="AR11" s="24">
        <f t="shared" si="20"/>
        <v>1917.6399999999994</v>
      </c>
      <c r="AS11" s="24">
        <f t="shared" si="20"/>
        <v>1960.6266666666661</v>
      </c>
      <c r="AT11" s="24">
        <f t="shared" si="20"/>
        <v>1142.7233333333329</v>
      </c>
      <c r="AU11" s="24">
        <f t="shared" si="20"/>
        <v>15214.009999999995</v>
      </c>
      <c r="AV11" s="24">
        <f t="shared" si="20"/>
        <v>13936.536666666678</v>
      </c>
      <c r="AW11" s="24">
        <f t="shared" si="20"/>
        <v>13491.373333333344</v>
      </c>
      <c r="AX11" s="24">
        <f t="shared" si="20"/>
        <v>7558.2200000000012</v>
      </c>
      <c r="AY11" s="24">
        <f t="shared" si="20"/>
        <v>4022.8966666666638</v>
      </c>
      <c r="AZ11" s="24">
        <f t="shared" si="20"/>
        <v>2704.2133333333386</v>
      </c>
      <c r="BA11" s="24">
        <f t="shared" si="20"/>
        <v>2425.2400000000052</v>
      </c>
      <c r="BB11" s="24">
        <f t="shared" si="20"/>
        <v>2593.4966666666696</v>
      </c>
      <c r="BC11" s="24">
        <f t="shared" si="20"/>
        <v>1434.7233333333334</v>
      </c>
      <c r="BD11" s="24">
        <f t="shared" si="20"/>
        <v>2144.0099999999948</v>
      </c>
      <c r="BE11" s="24">
        <f t="shared" si="20"/>
        <v>-29.53333333333012</v>
      </c>
      <c r="BF11" s="24">
        <f t="shared" si="20"/>
        <v>-310.93666666667059</v>
      </c>
      <c r="BG11" s="24">
        <f t="shared" si="20"/>
        <v>8917.86</v>
      </c>
      <c r="BH11" s="24">
        <f t="shared" si="20"/>
        <v>7655.5566666666673</v>
      </c>
      <c r="BI11" s="24">
        <f t="shared" si="20"/>
        <v>7795.0633333333317</v>
      </c>
      <c r="BJ11" s="24">
        <f t="shared" si="20"/>
        <v>4085.5</v>
      </c>
      <c r="BK11" s="24">
        <f t="shared" si="20"/>
        <v>738.5566666666673</v>
      </c>
      <c r="BL11" s="42">
        <f t="shared" si="20"/>
        <v>-1999.3066666666655</v>
      </c>
      <c r="BM11" s="24">
        <f t="shared" si="20"/>
        <v>-2123.2799999999988</v>
      </c>
      <c r="BN11" s="24">
        <f t="shared" si="20"/>
        <v>-1611.043333333324</v>
      </c>
      <c r="BO11" s="43">
        <f t="shared" si="20"/>
        <v>-1377.5766666666696</v>
      </c>
      <c r="BP11" s="24">
        <f t="shared" si="20"/>
        <v>-837.05999999999767</v>
      </c>
      <c r="BQ11" s="24">
        <f t="shared" si="20"/>
        <v>-493.42333333332954</v>
      </c>
      <c r="BR11" s="24">
        <f t="shared" si="20"/>
        <v>828.43333333333931</v>
      </c>
      <c r="BS11" s="24">
        <f t="shared" si="20"/>
        <v>-6076.7799999999843</v>
      </c>
      <c r="BT11" s="24">
        <f t="shared" si="20"/>
        <v>-4743.7233333333315</v>
      </c>
      <c r="BU11" s="24">
        <f t="shared" si="20"/>
        <v>-4310.1966666666485</v>
      </c>
      <c r="BV11" s="24">
        <f t="shared" si="20"/>
        <v>-3782.3300000000017</v>
      </c>
      <c r="BW11" s="24">
        <f t="shared" ref="BW11:DM11" si="21">+BW9-BW10</f>
        <v>-3194.4333333333234</v>
      </c>
      <c r="BX11" s="24">
        <f t="shared" si="21"/>
        <v>-2824.8566666666684</v>
      </c>
      <c r="BY11" s="24">
        <f t="shared" si="21"/>
        <v>-2084.0299999999988</v>
      </c>
      <c r="BZ11" s="24">
        <f t="shared" si="21"/>
        <v>-1532.0733333333374</v>
      </c>
      <c r="CA11" s="24">
        <f t="shared" si="21"/>
        <v>-394.35666666666839</v>
      </c>
      <c r="CB11" s="24">
        <f t="shared" si="21"/>
        <v>-144.92999999999302</v>
      </c>
      <c r="CC11" s="24">
        <f t="shared" si="21"/>
        <v>149.16666666666697</v>
      </c>
      <c r="CD11" s="24">
        <f t="shared" si="21"/>
        <v>-249.91666666666652</v>
      </c>
      <c r="CE11" s="24">
        <f t="shared" si="21"/>
        <v>1650.5799999999872</v>
      </c>
      <c r="CF11" s="24">
        <f t="shared" si="21"/>
        <v>2186.3099999999977</v>
      </c>
      <c r="CG11" s="24">
        <f t="shared" si="21"/>
        <v>2757.7099999999919</v>
      </c>
      <c r="CH11" s="24">
        <f t="shared" si="21"/>
        <v>1371.3999999999942</v>
      </c>
      <c r="CI11" s="24">
        <f t="shared" si="21"/>
        <v>-102.64000000001397</v>
      </c>
      <c r="CJ11" s="24">
        <f t="shared" si="21"/>
        <v>438.17999999999302</v>
      </c>
      <c r="CK11" s="24">
        <f t="shared" si="21"/>
        <v>622.76999999998952</v>
      </c>
      <c r="CL11" s="24">
        <f t="shared" si="21"/>
        <v>1416.7799999999988</v>
      </c>
      <c r="CM11" s="24">
        <f t="shared" si="21"/>
        <v>461.44999999999709</v>
      </c>
      <c r="CN11" s="24">
        <f t="shared" si="21"/>
        <v>79.070000000006985</v>
      </c>
      <c r="CO11" s="24">
        <f t="shared" si="21"/>
        <v>-56.330000000001746</v>
      </c>
      <c r="CP11" s="24">
        <f t="shared" si="21"/>
        <v>637.62000000000262</v>
      </c>
      <c r="CQ11" s="24">
        <f t="shared" si="21"/>
        <v>772.04000000000087</v>
      </c>
      <c r="CR11" s="24">
        <f t="shared" si="21"/>
        <v>2169.4733333333315</v>
      </c>
      <c r="CS11" s="24">
        <f t="shared" si="21"/>
        <v>2974.0366666666632</v>
      </c>
      <c r="CT11" s="24">
        <f t="shared" si="21"/>
        <v>4078.5600000000013</v>
      </c>
      <c r="CU11" s="24">
        <f t="shared" si="21"/>
        <v>4163.1333333333314</v>
      </c>
      <c r="CV11" s="24">
        <f t="shared" si="21"/>
        <v>5096.7166666666672</v>
      </c>
      <c r="CW11" s="24">
        <f t="shared" si="21"/>
        <v>5572.1100000000006</v>
      </c>
      <c r="CX11" s="24">
        <f t="shared" si="21"/>
        <v>4537.0433333333385</v>
      </c>
      <c r="CY11" s="24">
        <f t="shared" si="21"/>
        <v>5214.4966666666605</v>
      </c>
      <c r="CZ11" s="24">
        <f t="shared" si="21"/>
        <v>5795.2799999999988</v>
      </c>
      <c r="DA11" s="24">
        <f t="shared" si="21"/>
        <v>3265.7533333333386</v>
      </c>
      <c r="DB11" s="24">
        <f t="shared" si="21"/>
        <v>3030.5166666666651</v>
      </c>
      <c r="DC11" s="24">
        <f t="shared" si="21"/>
        <v>3975.2666666666773</v>
      </c>
      <c r="DD11" s="24">
        <f t="shared" si="21"/>
        <v>593.93333333334158</v>
      </c>
      <c r="DE11" s="24">
        <f t="shared" si="21"/>
        <v>-6790.320000000007</v>
      </c>
      <c r="DF11" s="24">
        <f t="shared" si="21"/>
        <v>-5462.6533333333391</v>
      </c>
      <c r="DG11" s="24">
        <f t="shared" si="21"/>
        <v>-3953.9166666666642</v>
      </c>
      <c r="DH11" s="24">
        <f t="shared" si="21"/>
        <v>-2083.2600000000093</v>
      </c>
      <c r="DI11" s="24">
        <f t="shared" si="21"/>
        <v>-1282.0033333333449</v>
      </c>
      <c r="DJ11" s="24">
        <f t="shared" si="21"/>
        <v>961.24333333333743</v>
      </c>
      <c r="DK11" s="24">
        <f t="shared" si="21"/>
        <v>1101.3700000000099</v>
      </c>
      <c r="DL11" s="24">
        <f t="shared" si="21"/>
        <v>217.45666666667512</v>
      </c>
      <c r="DM11" s="24">
        <f t="shared" si="21"/>
        <v>2183.8233333333387</v>
      </c>
    </row>
    <row r="12" spans="1:13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7"/>
      <c r="BA12" s="17"/>
      <c r="BB12" s="17"/>
      <c r="BC12" s="17"/>
      <c r="BD12" s="15"/>
      <c r="BE12" s="17"/>
      <c r="BF12" s="17"/>
      <c r="BG12" s="17"/>
      <c r="BH12" s="17"/>
      <c r="BI12" s="17"/>
      <c r="BJ12" s="14"/>
      <c r="BK12" s="16"/>
      <c r="BL12" s="1"/>
      <c r="BM12" s="1"/>
      <c r="BO12" s="37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</row>
    <row r="13" spans="1:134" x14ac:dyDescent="0.25">
      <c r="A13" s="75" t="s">
        <v>41</v>
      </c>
      <c r="D13" s="1" t="s">
        <v>42</v>
      </c>
      <c r="E13" s="26">
        <f>76071.3-1659.67</f>
        <v>74411.63</v>
      </c>
      <c r="F13" s="26">
        <f>63651.35-1659.67</f>
        <v>61991.68</v>
      </c>
      <c r="G13" s="26">
        <f>50256.6-444.27</f>
        <v>49812.33</v>
      </c>
      <c r="H13" s="26">
        <f>38088.61-146.57</f>
        <v>37942.04</v>
      </c>
      <c r="I13" s="26">
        <f>25520.37-33.34</f>
        <v>25487.03</v>
      </c>
      <c r="J13" s="26">
        <f>13646.82-33.34</f>
        <v>13613.48</v>
      </c>
      <c r="K13" s="26">
        <f>177043.31-25860.08</f>
        <v>151183.22999999998</v>
      </c>
      <c r="L13" s="26">
        <f>159031.94-25409</f>
        <v>133622.94</v>
      </c>
      <c r="M13" s="26">
        <f>148752-25247.7</f>
        <v>123504.3</v>
      </c>
      <c r="N13" s="26">
        <f>136524.48-25247.7</f>
        <v>111276.78000000001</v>
      </c>
      <c r="O13" s="26">
        <f>114795.7-15970.94</f>
        <v>98824.76</v>
      </c>
      <c r="P13" s="26">
        <f>104448.75-15970.94</f>
        <v>88477.81</v>
      </c>
      <c r="Q13" s="93">
        <f>90318.42-15442.46</f>
        <v>74875.959999999992</v>
      </c>
      <c r="R13" s="50">
        <f>65433.75-3453.52</f>
        <v>61980.23</v>
      </c>
      <c r="S13" s="50">
        <f>55126.57-2712.42</f>
        <v>52414.15</v>
      </c>
      <c r="T13" s="50">
        <f>42205.84-2403.93</f>
        <v>39801.909999999996</v>
      </c>
      <c r="U13" s="50">
        <f>28246.9-818.93</f>
        <v>27427.97</v>
      </c>
      <c r="V13" s="50">
        <f>17722.96-818.93</f>
        <v>16904.03</v>
      </c>
      <c r="W13" s="50">
        <f>146026.84-2342.67</f>
        <v>143684.16999999998</v>
      </c>
      <c r="X13" s="50">
        <f>133028.4-1931.93</f>
        <v>131096.47</v>
      </c>
      <c r="Y13" s="50">
        <f>121682.06-1834.02</f>
        <v>119848.04</v>
      </c>
      <c r="Z13" s="50">
        <f>109772.24-1834.02</f>
        <v>107938.22</v>
      </c>
      <c r="AA13" s="50">
        <f>97808.42-1834.02</f>
        <v>95974.399999999994</v>
      </c>
      <c r="AB13" s="50">
        <f>86605.59-1834.02</f>
        <v>84771.569999999992</v>
      </c>
      <c r="AC13" s="50">
        <f>74280.25-1834.02</f>
        <v>72446.23</v>
      </c>
      <c r="AD13" s="50">
        <f>61674.61-1834.02</f>
        <v>59840.590000000004</v>
      </c>
      <c r="AE13" s="50">
        <f>48701.98-484.02</f>
        <v>48217.960000000006</v>
      </c>
      <c r="AF13" s="50">
        <f>38559.67-209.8</f>
        <v>38349.869999999995</v>
      </c>
      <c r="AG13" s="50">
        <f>25904.21-55.23</f>
        <v>25848.98</v>
      </c>
      <c r="AH13" s="50">
        <f>15361.95-55.23</f>
        <v>15306.720000000001</v>
      </c>
      <c r="AI13" s="50">
        <f>135917.55-2608.16</f>
        <v>133309.38999999998</v>
      </c>
      <c r="AJ13" s="50">
        <f>121770.16-2603.07</f>
        <v>119167.09</v>
      </c>
      <c r="AK13" s="50">
        <f>111226.59-2445.28</f>
        <v>108781.31</v>
      </c>
      <c r="AL13" s="50">
        <f>101959.45-2436.03</f>
        <v>99523.42</v>
      </c>
      <c r="AM13" s="50">
        <f>92882.53-2436.03</f>
        <v>90446.5</v>
      </c>
      <c r="AN13" s="50">
        <f>82875.44-2436.03</f>
        <v>80439.41</v>
      </c>
      <c r="AO13" s="50">
        <f>71908.83-2436.03</f>
        <v>69472.800000000003</v>
      </c>
      <c r="AP13" s="50">
        <f>57597.1-2436.03</f>
        <v>55161.07</v>
      </c>
      <c r="AQ13" s="50">
        <f>46692.66-705.85</f>
        <v>45986.810000000005</v>
      </c>
      <c r="AR13" s="50">
        <f>35614.51-366.52</f>
        <v>35247.990000000005</v>
      </c>
      <c r="AS13" s="50">
        <f>22673.85-220.91</f>
        <v>22452.94</v>
      </c>
      <c r="AT13" s="50">
        <f>12879.58-220.91</f>
        <v>12658.67</v>
      </c>
      <c r="AU13" s="50">
        <f>131454.02-874.11</f>
        <v>130579.90999999999</v>
      </c>
      <c r="AV13" s="50">
        <f>114923.15-863.93</f>
        <v>114059.22</v>
      </c>
      <c r="AW13" s="50">
        <f>105638.28-763.26</f>
        <v>104875.02</v>
      </c>
      <c r="AX13" s="50">
        <f>96459.87-635.3</f>
        <v>95824.569999999992</v>
      </c>
      <c r="AY13" s="50">
        <f>84954.66-635.3</f>
        <v>84319.360000000001</v>
      </c>
      <c r="AZ13" s="50">
        <f>74219.02-635.3</f>
        <v>73583.72</v>
      </c>
      <c r="BA13" s="50">
        <f>65001.11-635.3</f>
        <v>64365.81</v>
      </c>
      <c r="BB13" s="50">
        <f>53309.84-635.3</f>
        <v>52674.539999999994</v>
      </c>
      <c r="BC13" s="50">
        <f>43246.5-333.8</f>
        <v>42912.7</v>
      </c>
      <c r="BD13" s="50">
        <f>35416.66-20.12</f>
        <v>35396.54</v>
      </c>
      <c r="BE13" s="50">
        <f>22229.83-0</f>
        <v>22229.83</v>
      </c>
      <c r="BF13" s="50">
        <f>12564.2-0</f>
        <v>12564.2</v>
      </c>
      <c r="BG13" s="50">
        <f>123238.69-1297.46</f>
        <v>121941.23</v>
      </c>
      <c r="BH13" s="50">
        <f>111121.5-978.17</f>
        <v>110143.33</v>
      </c>
      <c r="BI13" s="50">
        <f>100976.77-959.48</f>
        <v>100017.29000000001</v>
      </c>
      <c r="BJ13" s="50">
        <f>90910.31-936.27</f>
        <v>89974.04</v>
      </c>
      <c r="BK13" s="50">
        <f>78947.58-936.27</f>
        <v>78011.31</v>
      </c>
      <c r="BL13" s="26">
        <f>70294.56-936.27</f>
        <v>69358.289999999994</v>
      </c>
      <c r="BM13" s="26">
        <f>(58593.37-936.27)</f>
        <v>57657.100000000006</v>
      </c>
      <c r="BN13" s="26">
        <f>(48997.75-873.18)</f>
        <v>48124.57</v>
      </c>
      <c r="BO13" s="52">
        <f>(40021.33-869.18)</f>
        <v>39152.15</v>
      </c>
      <c r="BP13" s="26">
        <f>(30611.09-697.96)</f>
        <v>29913.13</v>
      </c>
      <c r="BQ13" s="26">
        <f>(20217.68-697.96)</f>
        <v>19519.72</v>
      </c>
      <c r="BR13" s="26">
        <f>(11012.82-697.96)</f>
        <v>10314.86</v>
      </c>
      <c r="BS13" s="26">
        <f>(150305.91-28054.87)</f>
        <v>122251.04000000001</v>
      </c>
      <c r="BT13" s="26">
        <f>(138221.17-28054.87)</f>
        <v>110166.30000000002</v>
      </c>
      <c r="BU13" s="26">
        <f>(128034.77-28054.87)</f>
        <v>99979.900000000009</v>
      </c>
      <c r="BV13" s="26">
        <f>(118919.15-28054.87)</f>
        <v>90864.28</v>
      </c>
      <c r="BW13" s="26">
        <f>(108842.82-28054.87)</f>
        <v>80787.950000000012</v>
      </c>
      <c r="BX13" s="26">
        <f>(99979.98-28054.87)</f>
        <v>71925.11</v>
      </c>
      <c r="BY13" s="26">
        <f>(86616.98-28054.87)</f>
        <v>58562.11</v>
      </c>
      <c r="BZ13" s="26">
        <f>(77238.59-27981.04)</f>
        <v>49257.549999999996</v>
      </c>
      <c r="CA13" s="26">
        <f>(51279.97-11709.7)</f>
        <v>39570.270000000004</v>
      </c>
      <c r="CB13" s="26">
        <f>(30585.44-1135.78)</f>
        <v>29449.66</v>
      </c>
      <c r="CC13" s="26">
        <f>(21028.39-150)</f>
        <v>20878.39</v>
      </c>
      <c r="CD13" s="9">
        <v>11098.15</v>
      </c>
      <c r="CE13" s="26">
        <f>(135067.49-23755.84)</f>
        <v>111311.65</v>
      </c>
      <c r="CF13" s="26">
        <f>(125182.71-23755.84)</f>
        <v>101426.87000000001</v>
      </c>
      <c r="CG13" s="26">
        <f>(116596.59-23755.84)</f>
        <v>92840.75</v>
      </c>
      <c r="CH13" s="26">
        <f>(106649.09-23755.84)</f>
        <v>82893.25</v>
      </c>
      <c r="CI13" s="26">
        <f>(96846.84-23755.84)</f>
        <v>73091</v>
      </c>
      <c r="CJ13" s="26">
        <f>(88425.34-23755.84)</f>
        <v>64669.5</v>
      </c>
      <c r="CK13" s="26">
        <f>(77233.86-23755.84)</f>
        <v>53478.020000000004</v>
      </c>
      <c r="CL13" s="26">
        <f>(53834.91-8057.02)</f>
        <v>45777.89</v>
      </c>
      <c r="CM13" s="26">
        <f>(44391.49-7344.94)</f>
        <v>37046.549999999996</v>
      </c>
      <c r="CN13" s="26">
        <f>(27338.65-1526.32)</f>
        <v>25812.33</v>
      </c>
      <c r="CO13" s="26">
        <f>(19258.71-1288.57)</f>
        <v>17970.14</v>
      </c>
      <c r="CP13" s="26">
        <f>(10649.99-506.65)</f>
        <v>10143.34</v>
      </c>
      <c r="CQ13" s="10">
        <v>115540.4</v>
      </c>
      <c r="CR13" s="10">
        <v>104659.05</v>
      </c>
      <c r="CS13" s="10">
        <v>95877.11</v>
      </c>
      <c r="CT13" s="10">
        <v>86530.68</v>
      </c>
      <c r="CU13" s="10">
        <v>78335.34</v>
      </c>
      <c r="CV13" s="48">
        <f>98543.87-28573.11</f>
        <v>69970.759999999995</v>
      </c>
      <c r="CW13" s="48">
        <f>68115.97-9005.62</f>
        <v>59110.35</v>
      </c>
      <c r="CX13" s="48">
        <f>51337.23-2013.16</f>
        <v>49324.07</v>
      </c>
      <c r="CY13" s="48">
        <f>41173.06-1105.92</f>
        <v>40067.14</v>
      </c>
      <c r="CZ13" s="48">
        <f>31849.6-797.94</f>
        <v>31051.66</v>
      </c>
      <c r="DA13" s="48">
        <f>21770.23-197.94</f>
        <v>21572.29</v>
      </c>
      <c r="DB13" s="48">
        <f>13700.23-197.94</f>
        <v>13502.289999999999</v>
      </c>
      <c r="DC13" s="48">
        <f>141771.38-37905.51</f>
        <v>103865.87</v>
      </c>
      <c r="DD13" s="48">
        <f>131940.21-37617.8</f>
        <v>94322.409999999989</v>
      </c>
      <c r="DE13" s="48">
        <f>123167.82-36987</f>
        <v>86180.82</v>
      </c>
      <c r="DF13" s="48">
        <f>115581.16-36987</f>
        <v>78594.16</v>
      </c>
      <c r="DG13" s="48">
        <f>100991.76-36987</f>
        <v>64004.759999999995</v>
      </c>
      <c r="DH13" s="48">
        <f>89873.8-35301.79</f>
        <v>54572.01</v>
      </c>
      <c r="DI13" s="48">
        <f>57686.79-10566.83</f>
        <v>47119.96</v>
      </c>
      <c r="DJ13" s="48">
        <f>46573.23-7698.84</f>
        <v>38874.39</v>
      </c>
      <c r="DK13" s="48">
        <f>35702.89-6835.98</f>
        <v>28866.91</v>
      </c>
      <c r="DL13" s="48">
        <f>15509.91-392.48</f>
        <v>15117.43</v>
      </c>
      <c r="DM13" s="48">
        <f>9727.03-198.3</f>
        <v>9528.7300000000014</v>
      </c>
      <c r="DN13" s="48">
        <f>165283.61-55089.91</f>
        <v>110193.69999999998</v>
      </c>
      <c r="DO13" s="48">
        <f>154985.88-55089.91</f>
        <v>99895.97</v>
      </c>
      <c r="DP13" s="48">
        <f>147908.73-55089.91</f>
        <v>92818.82</v>
      </c>
      <c r="DQ13" s="48">
        <f>137385.94-53318.11</f>
        <v>84067.83</v>
      </c>
      <c r="DR13" s="48">
        <f>129017.7-53318.11</f>
        <v>75699.59</v>
      </c>
      <c r="DS13" s="48">
        <f>120422.8-53318.11</f>
        <v>67104.69</v>
      </c>
      <c r="DT13" s="48">
        <f>110494.93-53318.11</f>
        <v>57176.819999999992</v>
      </c>
      <c r="DU13" s="48">
        <f>102406.75-52731.61</f>
        <v>49675.14</v>
      </c>
      <c r="DV13" s="48">
        <f>56305.75-17474.25</f>
        <v>38831.5</v>
      </c>
      <c r="DW13" s="48">
        <f>29627.71-1697.38</f>
        <v>27930.329999999998</v>
      </c>
      <c r="DX13" s="48">
        <f>19782.49-632.98</f>
        <v>19149.510000000002</v>
      </c>
      <c r="DY13" s="48">
        <f>9721.86-132.98</f>
        <v>9588.880000000001</v>
      </c>
    </row>
    <row r="14" spans="1:134" x14ac:dyDescent="0.25">
      <c r="A14" s="75" t="s">
        <v>38</v>
      </c>
      <c r="D14" s="1" t="s">
        <v>43</v>
      </c>
      <c r="E14" s="26">
        <f>+(164243.35-4106)/12*6</f>
        <v>80068.675000000003</v>
      </c>
      <c r="F14" s="26">
        <f>+(164243.35-4106)/12*5</f>
        <v>66723.895833333343</v>
      </c>
      <c r="G14" s="26">
        <f>+(164243.35-4106)/12*4</f>
        <v>53379.116666666669</v>
      </c>
      <c r="H14" s="26">
        <f>+(164243.35-4106)/12*3</f>
        <v>40034.337500000001</v>
      </c>
      <c r="I14" s="26">
        <f>+(164243.35-4106)/12*2</f>
        <v>26689.558333333334</v>
      </c>
      <c r="J14" s="26">
        <f>+(164243.35-4106)/12*1</f>
        <v>13344.779166666667</v>
      </c>
      <c r="K14" s="26">
        <f>+(165347-31090)/12*12</f>
        <v>134257</v>
      </c>
      <c r="L14" s="26">
        <f>+(165347-31090)/12*11</f>
        <v>123068.91666666667</v>
      </c>
      <c r="M14" s="26">
        <f>+(165347-31090)/12*10</f>
        <v>111880.83333333334</v>
      </c>
      <c r="N14" s="26">
        <f>+(165347-31090)/12*9</f>
        <v>100692.75</v>
      </c>
      <c r="O14" s="26">
        <f>+(165347-31090)/12*8</f>
        <v>89504.666666666672</v>
      </c>
      <c r="P14" s="26">
        <f>+(165347-31090)/12*7</f>
        <v>78316.583333333343</v>
      </c>
      <c r="Q14" s="93">
        <f>+(165347-31090)/12*6</f>
        <v>67128.5</v>
      </c>
      <c r="R14" s="50">
        <f>+(165347-31090)/12*5</f>
        <v>55940.416666666672</v>
      </c>
      <c r="S14" s="50">
        <f>+(165347-31090)/12*4</f>
        <v>44752.333333333336</v>
      </c>
      <c r="T14" s="50">
        <f>+(165347-31090)/12*3</f>
        <v>33564.25</v>
      </c>
      <c r="U14" s="50">
        <f>+(165347-31090)/12*2</f>
        <v>22376.166666666668</v>
      </c>
      <c r="V14" s="50">
        <f>+(165347-31090)/12*1</f>
        <v>11188.083333333334</v>
      </c>
      <c r="W14" s="50">
        <f>+(165347-31090)/12*12</f>
        <v>134257</v>
      </c>
      <c r="X14" s="50">
        <f>+(165347-31090)/12*11</f>
        <v>123068.91666666667</v>
      </c>
      <c r="Y14" s="50">
        <f>+(165347-31090)/12*10</f>
        <v>111880.83333333334</v>
      </c>
      <c r="Z14" s="50">
        <f>+(165347-31090)/12*9</f>
        <v>100692.75</v>
      </c>
      <c r="AA14" s="50">
        <f>+(165347-31090)/12*8</f>
        <v>89504.666666666672</v>
      </c>
      <c r="AB14" s="50">
        <f>+(165347-31090)/12*7</f>
        <v>78316.583333333343</v>
      </c>
      <c r="AC14" s="50">
        <f>+(165347-31090)/12*6</f>
        <v>67128.5</v>
      </c>
      <c r="AD14" s="50">
        <f>+(165347-31090)/12*5</f>
        <v>55940.416666666672</v>
      </c>
      <c r="AE14" s="50">
        <f>+(165347-31090)/12*4</f>
        <v>44752.333333333336</v>
      </c>
      <c r="AF14" s="50">
        <f>+(165347-31090)/12*3</f>
        <v>33564.25</v>
      </c>
      <c r="AG14" s="50">
        <f>+(165347-31090)/12*2</f>
        <v>22376.166666666668</v>
      </c>
      <c r="AH14" s="50">
        <f>+(165347-31090)/12*1</f>
        <v>11188.083333333334</v>
      </c>
      <c r="AI14" s="50">
        <f>+(165347-31090)/12*12</f>
        <v>134257</v>
      </c>
      <c r="AJ14" s="50">
        <f>+(165347-31090)/12*11</f>
        <v>123068.91666666667</v>
      </c>
      <c r="AK14" s="50">
        <f>+(165347-31090)/12*10</f>
        <v>111880.83333333334</v>
      </c>
      <c r="AL14" s="50">
        <f>+(165347-31090)/12*9</f>
        <v>100692.75</v>
      </c>
      <c r="AM14" s="50">
        <f>+(165347-31090)/12*8</f>
        <v>89504.666666666672</v>
      </c>
      <c r="AN14" s="50">
        <f>+(165347-31090)/12*7</f>
        <v>78316.583333333343</v>
      </c>
      <c r="AO14" s="50">
        <f>+(165347-31090)/12*6</f>
        <v>67128.5</v>
      </c>
      <c r="AP14" s="50">
        <f>+(165347-31090)/12*5</f>
        <v>55940.416666666672</v>
      </c>
      <c r="AQ14" s="50">
        <f>+(165347-31090)/12*4</f>
        <v>44752.333333333336</v>
      </c>
      <c r="AR14" s="50">
        <f>+(165347-31090)/12*3</f>
        <v>33564.25</v>
      </c>
      <c r="AS14" s="50">
        <f>+(165347-31090)/12*2</f>
        <v>22376.166666666668</v>
      </c>
      <c r="AT14" s="50">
        <f>+(165347-31090)/12*1</f>
        <v>11188.083333333334</v>
      </c>
      <c r="AU14" s="50">
        <f>+(165347-31090)/12*12</f>
        <v>134257</v>
      </c>
      <c r="AV14" s="50">
        <f>+(165347-31090)/12*11</f>
        <v>123068.91666666667</v>
      </c>
      <c r="AW14" s="50">
        <f>+(165347-31090)/12*10</f>
        <v>111880.83333333334</v>
      </c>
      <c r="AX14" s="50">
        <f>+(165347-31090)/12*9</f>
        <v>100692.75</v>
      </c>
      <c r="AY14" s="50">
        <f>+(165347-31090)/12*8</f>
        <v>89504.666666666672</v>
      </c>
      <c r="AZ14" s="50">
        <f>+(165347-31090)/12*7</f>
        <v>78316.583333333343</v>
      </c>
      <c r="BA14" s="50">
        <f>+(165347-31090)/12*6</f>
        <v>67128.5</v>
      </c>
      <c r="BB14" s="50">
        <f>+(165347-31090)/12*5</f>
        <v>55940.416666666672</v>
      </c>
      <c r="BC14" s="50">
        <f>+(165347-31090)/12*4</f>
        <v>44752.333333333336</v>
      </c>
      <c r="BD14" s="50">
        <f>+(165347-31090)/12*3</f>
        <v>33564.25</v>
      </c>
      <c r="BE14" s="50">
        <f>+(165347-31090)/12*2</f>
        <v>22376.166666666668</v>
      </c>
      <c r="BF14" s="50">
        <f>+(165347-31090)/12*1</f>
        <v>11188.083333333334</v>
      </c>
      <c r="BG14" s="50">
        <f>+(165347-31090)/12*12</f>
        <v>134257</v>
      </c>
      <c r="BH14" s="50">
        <f>+(165347-31090)/12*11</f>
        <v>123068.91666666667</v>
      </c>
      <c r="BI14" s="50">
        <f>+(165347-31090)/12*10</f>
        <v>111880.83333333334</v>
      </c>
      <c r="BJ14" s="50">
        <f>+(165347-31090)/12*9</f>
        <v>100692.75</v>
      </c>
      <c r="BK14" s="50">
        <f>+(165347-31090)/12*8</f>
        <v>89504.666666666672</v>
      </c>
      <c r="BL14" s="26">
        <f>+(165347-31090)/12*7</f>
        <v>78316.583333333343</v>
      </c>
      <c r="BM14" s="26">
        <f>+(165347-31090)/12*6</f>
        <v>67128.5</v>
      </c>
      <c r="BN14" s="26">
        <f>+(165347-31090)/12*5</f>
        <v>55940.416666666672</v>
      </c>
      <c r="BO14" s="52">
        <f>+(165347-31090)/12*4</f>
        <v>44752.333333333336</v>
      </c>
      <c r="BP14" s="26">
        <f>+(165347-31090)/12*3</f>
        <v>33564.25</v>
      </c>
      <c r="BQ14" s="26">
        <f>+(165347-31090)/12*2</f>
        <v>22376.166666666668</v>
      </c>
      <c r="BR14" s="26">
        <f>+(165347-31090)/12*1</f>
        <v>11188.083333333334</v>
      </c>
      <c r="BS14" s="26">
        <f>+(173675-38900)/12*12</f>
        <v>134775</v>
      </c>
      <c r="BT14" s="26">
        <f>+(173675-38900)/12*11</f>
        <v>123543.75</v>
      </c>
      <c r="BU14" s="26">
        <f>+(173675-38900)/12*10</f>
        <v>112312.5</v>
      </c>
      <c r="BV14" s="26">
        <f>+(173675-38900)/12*9</f>
        <v>101081.25</v>
      </c>
      <c r="BW14" s="26">
        <f>+(173675-38900)/12*8</f>
        <v>89850</v>
      </c>
      <c r="BX14" s="26">
        <f>+(173675-38900)/12*7</f>
        <v>78618.75</v>
      </c>
      <c r="BY14" s="26">
        <f>+(173675-38900)/12*6</f>
        <v>67387.5</v>
      </c>
      <c r="BZ14" s="26">
        <f>+(173675-38900)/12*5</f>
        <v>56156.25</v>
      </c>
      <c r="CA14" s="26">
        <f>+(173675-38900)/12*4</f>
        <v>44925</v>
      </c>
      <c r="CB14" s="26">
        <f>+(173675-38900)/12*3</f>
        <v>33693.75</v>
      </c>
      <c r="CC14" s="26">
        <f>+(173675-38900)/12*2</f>
        <v>22462.5</v>
      </c>
      <c r="CD14" s="26">
        <f>+(173675-38900)/12*1</f>
        <v>11231.25</v>
      </c>
      <c r="CE14" s="26">
        <f>+(158897-34415)/12*12</f>
        <v>124482</v>
      </c>
      <c r="CF14" s="26">
        <f>+(158897-34415)/12*11</f>
        <v>114108.5</v>
      </c>
      <c r="CG14" s="26">
        <f>+(158897-34415)/12*10</f>
        <v>103735</v>
      </c>
      <c r="CH14" s="26">
        <f>+(158897-34415)/12*9</f>
        <v>93361.5</v>
      </c>
      <c r="CI14" s="26">
        <f>+(158897-34415)/12*8</f>
        <v>82988</v>
      </c>
      <c r="CJ14" s="26">
        <f>+(158897-34415)/12*7</f>
        <v>72614.5</v>
      </c>
      <c r="CK14" s="26">
        <f>+(158897-34415)/12*6</f>
        <v>62241</v>
      </c>
      <c r="CL14" s="26">
        <f>+(158897-34415)/12*5</f>
        <v>51867.5</v>
      </c>
      <c r="CM14" s="26">
        <f>+(158897-34415)/12*4</f>
        <v>41494</v>
      </c>
      <c r="CN14" s="26">
        <f>+(158897-34415)/12*3</f>
        <v>31120.5</v>
      </c>
      <c r="CO14" s="26">
        <f>+(158897-34415)/12*2</f>
        <v>20747</v>
      </c>
      <c r="CP14" s="26">
        <f>+(158897-34415)/12</f>
        <v>10373.5</v>
      </c>
      <c r="CQ14" s="48">
        <f>+(169577-41565)/12*12</f>
        <v>128012</v>
      </c>
      <c r="CR14" s="48">
        <f>+(169577-41565)/12*11</f>
        <v>117344.33333333333</v>
      </c>
      <c r="CS14" s="48">
        <f>+(169577-41565)/12*10</f>
        <v>106676.66666666666</v>
      </c>
      <c r="CT14" s="48">
        <f>+(169577-41565)/12*9</f>
        <v>96009</v>
      </c>
      <c r="CU14" s="48">
        <f>+(169577-41565)/12*8</f>
        <v>85341.333333333328</v>
      </c>
      <c r="CV14" s="48">
        <f>+(169577-41565)/12*7</f>
        <v>74673.666666666657</v>
      </c>
      <c r="CW14" s="48">
        <f>+(169577-41565)/12*6</f>
        <v>64006</v>
      </c>
      <c r="CX14" s="48">
        <f>+(169577-41565)/12*5</f>
        <v>53338.333333333328</v>
      </c>
      <c r="CY14" s="48">
        <f>+(169577-41565)/12*4</f>
        <v>42670.666666666664</v>
      </c>
      <c r="CZ14" s="48">
        <f>+(169577-41565)/12*3</f>
        <v>32003</v>
      </c>
      <c r="DA14" s="48">
        <f>+(169577-41565)/12*2</f>
        <v>21335.333333333332</v>
      </c>
      <c r="DB14" s="48">
        <f>+(169577-41565)/12</f>
        <v>10667.666666666666</v>
      </c>
      <c r="DC14" s="48">
        <f>+(171526-40275)/12*11</f>
        <v>120313.41666666667</v>
      </c>
      <c r="DD14" s="48">
        <f>+(171526-40275)/12*10</f>
        <v>109375.83333333334</v>
      </c>
      <c r="DE14" s="48">
        <f>+(171526-40275)/12*9</f>
        <v>98438.25</v>
      </c>
      <c r="DF14" s="48">
        <f>+(171526-40275)/12*8</f>
        <v>87500.666666666672</v>
      </c>
      <c r="DG14" s="48">
        <f>+(171526-40275)/12*7</f>
        <v>76563.083333333343</v>
      </c>
      <c r="DH14" s="48">
        <f>+(171526-40275)/12*6</f>
        <v>65625.5</v>
      </c>
      <c r="DI14" s="48">
        <f>+(171526-40275)/12*5</f>
        <v>54687.916666666672</v>
      </c>
      <c r="DJ14" s="48">
        <f>+(171526-40275)/12*4</f>
        <v>43750.333333333336</v>
      </c>
      <c r="DK14" s="48">
        <f>+(171526-40275)/12*3</f>
        <v>32812.75</v>
      </c>
      <c r="DL14" s="48">
        <f>+(171526-40275)/12*2</f>
        <v>21875.166666666668</v>
      </c>
      <c r="DM14" s="48">
        <f>+(171526-40275)/12</f>
        <v>10937.583333333334</v>
      </c>
      <c r="DN14" s="48">
        <f>131660/12*12</f>
        <v>131660</v>
      </c>
      <c r="DO14" s="48">
        <f>131660/12*11</f>
        <v>120688.33333333333</v>
      </c>
      <c r="DP14" s="48">
        <f>131660/12*10</f>
        <v>109716.66666666666</v>
      </c>
      <c r="DQ14" s="48">
        <f>131660/12*9</f>
        <v>98745</v>
      </c>
      <c r="DR14" s="48">
        <f>131660/12*8</f>
        <v>87773.333333333328</v>
      </c>
      <c r="DS14" s="48">
        <f>131660/12*7</f>
        <v>76801.666666666657</v>
      </c>
      <c r="DT14" s="48">
        <f>131660/12*6</f>
        <v>65830</v>
      </c>
      <c r="DU14" s="48">
        <f>131660/12*5</f>
        <v>54858.333333333328</v>
      </c>
      <c r="DV14" s="48">
        <f>131660/12*4</f>
        <v>43886.666666666664</v>
      </c>
      <c r="DW14" s="48">
        <f>131660/12*3</f>
        <v>32915</v>
      </c>
      <c r="DX14" s="48">
        <f>131660/12*2</f>
        <v>21943.333333333332</v>
      </c>
      <c r="DY14" s="48">
        <f>131660/12</f>
        <v>10971.666666666666</v>
      </c>
    </row>
    <row r="15" spans="1:134" x14ac:dyDescent="0.25">
      <c r="D15" s="1" t="s">
        <v>44</v>
      </c>
      <c r="E15" s="24">
        <f t="shared" ref="E15:F15" si="22">+E14-E13</f>
        <v>5657.0449999999983</v>
      </c>
      <c r="F15" s="24">
        <f t="shared" si="22"/>
        <v>4732.2158333333427</v>
      </c>
      <c r="G15" s="24">
        <f t="shared" ref="G15:H15" si="23">+G14-G13</f>
        <v>3566.7866666666669</v>
      </c>
      <c r="H15" s="24">
        <f t="shared" si="23"/>
        <v>2092.2975000000006</v>
      </c>
      <c r="I15" s="24">
        <f t="shared" ref="I15:J15" si="24">+I14-I13</f>
        <v>1202.5283333333355</v>
      </c>
      <c r="J15" s="24">
        <f t="shared" si="24"/>
        <v>-268.70083333333241</v>
      </c>
      <c r="K15" s="24">
        <f t="shared" ref="K15:BV15" si="25">+K14-K13</f>
        <v>-16926.229999999981</v>
      </c>
      <c r="L15" s="24">
        <f t="shared" si="25"/>
        <v>-10554.023333333331</v>
      </c>
      <c r="M15" s="24">
        <f t="shared" si="25"/>
        <v>-11623.46666666666</v>
      </c>
      <c r="N15" s="24">
        <f t="shared" si="25"/>
        <v>-10584.030000000013</v>
      </c>
      <c r="O15" s="24">
        <f t="shared" si="25"/>
        <v>-9320.0933333333232</v>
      </c>
      <c r="P15" s="24">
        <f t="shared" si="25"/>
        <v>-10161.226666666655</v>
      </c>
      <c r="Q15" s="91">
        <f t="shared" si="25"/>
        <v>-7747.4599999999919</v>
      </c>
      <c r="R15" s="83">
        <f t="shared" si="25"/>
        <v>-6039.8133333333317</v>
      </c>
      <c r="S15" s="83">
        <f t="shared" si="25"/>
        <v>-7661.8166666666657</v>
      </c>
      <c r="T15" s="83">
        <f t="shared" si="25"/>
        <v>-6237.6599999999962</v>
      </c>
      <c r="U15" s="83">
        <f t="shared" si="25"/>
        <v>-5051.8033333333333</v>
      </c>
      <c r="V15" s="83">
        <f t="shared" si="25"/>
        <v>-5715.9466666666649</v>
      </c>
      <c r="W15" s="83">
        <f t="shared" si="25"/>
        <v>-9427.1699999999837</v>
      </c>
      <c r="X15" s="83">
        <f t="shared" si="25"/>
        <v>-8027.5533333333296</v>
      </c>
      <c r="Y15" s="83">
        <f t="shared" si="25"/>
        <v>-7967.2066666666506</v>
      </c>
      <c r="Z15" s="83">
        <f t="shared" si="25"/>
        <v>-7245.4700000000012</v>
      </c>
      <c r="AA15" s="83">
        <f t="shared" si="25"/>
        <v>-6469.7333333333227</v>
      </c>
      <c r="AB15" s="24">
        <f t="shared" si="25"/>
        <v>-6454.9866666666494</v>
      </c>
      <c r="AC15" s="83">
        <f t="shared" si="25"/>
        <v>-5317.7299999999959</v>
      </c>
      <c r="AD15" s="83">
        <f t="shared" si="25"/>
        <v>-3900.1733333333323</v>
      </c>
      <c r="AE15" s="83">
        <f t="shared" si="25"/>
        <v>-3465.6266666666706</v>
      </c>
      <c r="AF15" s="24">
        <f t="shared" si="25"/>
        <v>-4785.6199999999953</v>
      </c>
      <c r="AG15" s="24">
        <f t="shared" si="25"/>
        <v>-3472.8133333333317</v>
      </c>
      <c r="AH15" s="24">
        <f t="shared" si="25"/>
        <v>-4118.6366666666672</v>
      </c>
      <c r="AI15" s="24">
        <f t="shared" si="25"/>
        <v>947.61000000001513</v>
      </c>
      <c r="AJ15" s="24">
        <f t="shared" si="25"/>
        <v>3901.826666666675</v>
      </c>
      <c r="AK15" s="24">
        <f t="shared" si="25"/>
        <v>3099.5233333333454</v>
      </c>
      <c r="AL15" s="24">
        <f t="shared" si="25"/>
        <v>1169.3300000000017</v>
      </c>
      <c r="AM15" s="24">
        <f t="shared" si="25"/>
        <v>-941.83333333332848</v>
      </c>
      <c r="AN15" s="24">
        <f t="shared" si="25"/>
        <v>-2122.8266666666605</v>
      </c>
      <c r="AO15" s="24">
        <f t="shared" si="25"/>
        <v>-2344.3000000000029</v>
      </c>
      <c r="AP15" s="24">
        <f t="shared" si="25"/>
        <v>779.34666666667181</v>
      </c>
      <c r="AQ15" s="24">
        <f t="shared" si="25"/>
        <v>-1234.4766666666692</v>
      </c>
      <c r="AR15" s="24">
        <f t="shared" si="25"/>
        <v>-1683.7400000000052</v>
      </c>
      <c r="AS15" s="24">
        <f t="shared" si="25"/>
        <v>-76.773333333330811</v>
      </c>
      <c r="AT15" s="24">
        <f t="shared" si="25"/>
        <v>-1470.5866666666661</v>
      </c>
      <c r="AU15" s="24">
        <f t="shared" si="25"/>
        <v>3677.0900000000111</v>
      </c>
      <c r="AV15" s="24">
        <f t="shared" si="25"/>
        <v>9009.6966666666704</v>
      </c>
      <c r="AW15" s="24">
        <f t="shared" si="25"/>
        <v>7005.813333333339</v>
      </c>
      <c r="AX15" s="24">
        <f t="shared" si="25"/>
        <v>4868.1800000000076</v>
      </c>
      <c r="AY15" s="24">
        <f t="shared" si="25"/>
        <v>5185.3066666666709</v>
      </c>
      <c r="AZ15" s="24">
        <f t="shared" si="25"/>
        <v>4732.8633333333419</v>
      </c>
      <c r="BA15" s="24">
        <f t="shared" si="25"/>
        <v>2762.6900000000023</v>
      </c>
      <c r="BB15" s="24">
        <f t="shared" si="25"/>
        <v>3265.8766666666779</v>
      </c>
      <c r="BC15" s="24">
        <f t="shared" si="25"/>
        <v>1839.6333333333387</v>
      </c>
      <c r="BD15" s="24">
        <f t="shared" si="25"/>
        <v>-1832.2900000000009</v>
      </c>
      <c r="BE15" s="24">
        <f t="shared" si="25"/>
        <v>146.33666666666613</v>
      </c>
      <c r="BF15" s="24">
        <f t="shared" si="25"/>
        <v>-1376.1166666666668</v>
      </c>
      <c r="BG15" s="24">
        <f t="shared" si="25"/>
        <v>12315.770000000004</v>
      </c>
      <c r="BH15" s="24">
        <f t="shared" si="25"/>
        <v>12925.58666666667</v>
      </c>
      <c r="BI15" s="24">
        <f t="shared" si="25"/>
        <v>11863.543333333335</v>
      </c>
      <c r="BJ15" s="24">
        <f t="shared" si="25"/>
        <v>10718.710000000006</v>
      </c>
      <c r="BK15" s="24">
        <f t="shared" si="25"/>
        <v>11493.356666666674</v>
      </c>
      <c r="BL15" s="42">
        <f t="shared" si="25"/>
        <v>8958.2933333333494</v>
      </c>
      <c r="BM15" s="24">
        <f t="shared" si="25"/>
        <v>9471.3999999999942</v>
      </c>
      <c r="BN15" s="24">
        <f t="shared" si="25"/>
        <v>7815.8466666666718</v>
      </c>
      <c r="BO15" s="43">
        <f t="shared" si="25"/>
        <v>5600.1833333333343</v>
      </c>
      <c r="BP15" s="24">
        <f t="shared" si="25"/>
        <v>3651.119999999999</v>
      </c>
      <c r="BQ15" s="24">
        <f t="shared" si="25"/>
        <v>2856.4466666666667</v>
      </c>
      <c r="BR15" s="24">
        <f t="shared" si="25"/>
        <v>873.22333333333336</v>
      </c>
      <c r="BS15" s="24">
        <f t="shared" si="25"/>
        <v>12523.959999999992</v>
      </c>
      <c r="BT15" s="24">
        <f t="shared" si="25"/>
        <v>13377.449999999983</v>
      </c>
      <c r="BU15" s="24">
        <f t="shared" si="25"/>
        <v>12332.599999999991</v>
      </c>
      <c r="BV15" s="24">
        <f t="shared" si="25"/>
        <v>10216.970000000001</v>
      </c>
      <c r="BW15" s="24">
        <f t="shared" ref="BW15:DY15" si="26">+BW14-BW13</f>
        <v>9062.0499999999884</v>
      </c>
      <c r="BX15" s="24">
        <f t="shared" si="26"/>
        <v>6693.6399999999994</v>
      </c>
      <c r="BY15" s="24">
        <f t="shared" si="26"/>
        <v>8825.39</v>
      </c>
      <c r="BZ15" s="24">
        <f t="shared" si="26"/>
        <v>6898.7000000000044</v>
      </c>
      <c r="CA15" s="24">
        <f t="shared" si="26"/>
        <v>5354.7299999999959</v>
      </c>
      <c r="CB15" s="24">
        <f t="shared" si="26"/>
        <v>4244.09</v>
      </c>
      <c r="CC15" s="24">
        <f t="shared" si="26"/>
        <v>1584.1100000000006</v>
      </c>
      <c r="CD15" s="24">
        <f t="shared" si="26"/>
        <v>133.10000000000036</v>
      </c>
      <c r="CE15" s="24">
        <f t="shared" si="26"/>
        <v>13170.350000000006</v>
      </c>
      <c r="CF15" s="24">
        <f t="shared" si="26"/>
        <v>12681.62999999999</v>
      </c>
      <c r="CG15" s="24">
        <f t="shared" si="26"/>
        <v>10894.25</v>
      </c>
      <c r="CH15" s="24">
        <f t="shared" si="26"/>
        <v>10468.25</v>
      </c>
      <c r="CI15" s="24">
        <f t="shared" si="26"/>
        <v>9897</v>
      </c>
      <c r="CJ15" s="24">
        <f t="shared" si="26"/>
        <v>7945</v>
      </c>
      <c r="CK15" s="24">
        <f t="shared" si="26"/>
        <v>8762.9799999999959</v>
      </c>
      <c r="CL15" s="24">
        <f t="shared" si="26"/>
        <v>6089.6100000000006</v>
      </c>
      <c r="CM15" s="24">
        <f t="shared" si="26"/>
        <v>4447.4500000000044</v>
      </c>
      <c r="CN15" s="24">
        <f t="shared" si="26"/>
        <v>5308.1699999999983</v>
      </c>
      <c r="CO15" s="24">
        <f t="shared" si="26"/>
        <v>2776.8600000000006</v>
      </c>
      <c r="CP15" s="24">
        <f t="shared" si="26"/>
        <v>230.15999999999985</v>
      </c>
      <c r="CQ15" s="24">
        <f t="shared" si="26"/>
        <v>12471.600000000006</v>
      </c>
      <c r="CR15" s="24">
        <f t="shared" si="26"/>
        <v>12685.283333333326</v>
      </c>
      <c r="CS15" s="24">
        <f t="shared" si="26"/>
        <v>10799.556666666656</v>
      </c>
      <c r="CT15" s="24">
        <f t="shared" si="26"/>
        <v>9478.320000000007</v>
      </c>
      <c r="CU15" s="24">
        <f t="shared" si="26"/>
        <v>7005.993333333332</v>
      </c>
      <c r="CV15" s="24">
        <f t="shared" si="26"/>
        <v>4702.9066666666622</v>
      </c>
      <c r="CW15" s="24">
        <f t="shared" si="26"/>
        <v>4895.6500000000015</v>
      </c>
      <c r="CX15" s="24">
        <f t="shared" si="26"/>
        <v>4014.2633333333288</v>
      </c>
      <c r="CY15" s="24">
        <f t="shared" si="26"/>
        <v>2603.5266666666648</v>
      </c>
      <c r="CZ15" s="24">
        <f t="shared" si="26"/>
        <v>951.34000000000015</v>
      </c>
      <c r="DA15" s="24">
        <f t="shared" si="26"/>
        <v>-236.95666666666875</v>
      </c>
      <c r="DB15" s="24">
        <f t="shared" si="26"/>
        <v>-2834.623333333333</v>
      </c>
      <c r="DC15" s="24">
        <f t="shared" si="26"/>
        <v>16447.546666666676</v>
      </c>
      <c r="DD15" s="24">
        <f t="shared" si="26"/>
        <v>15053.423333333354</v>
      </c>
      <c r="DE15" s="24">
        <f t="shared" si="26"/>
        <v>12257.429999999993</v>
      </c>
      <c r="DF15" s="24">
        <f t="shared" si="26"/>
        <v>8906.506666666668</v>
      </c>
      <c r="DG15" s="24">
        <f t="shared" si="26"/>
        <v>12558.323333333348</v>
      </c>
      <c r="DH15" s="24">
        <f t="shared" si="26"/>
        <v>11053.489999999998</v>
      </c>
      <c r="DI15" s="24">
        <f t="shared" si="26"/>
        <v>7567.9566666666724</v>
      </c>
      <c r="DJ15" s="24">
        <f t="shared" si="26"/>
        <v>4875.9433333333363</v>
      </c>
      <c r="DK15" s="24">
        <f t="shared" si="26"/>
        <v>3945.84</v>
      </c>
      <c r="DL15" s="24">
        <f t="shared" si="26"/>
        <v>6757.7366666666676</v>
      </c>
      <c r="DM15" s="24">
        <f t="shared" si="26"/>
        <v>1408.8533333333326</v>
      </c>
      <c r="DN15" s="24">
        <f t="shared" si="26"/>
        <v>21466.300000000017</v>
      </c>
      <c r="DO15" s="24">
        <f t="shared" si="26"/>
        <v>20792.363333333327</v>
      </c>
      <c r="DP15" s="24">
        <f t="shared" si="26"/>
        <v>16897.84666666665</v>
      </c>
      <c r="DQ15" s="24">
        <f t="shared" si="26"/>
        <v>14677.169999999998</v>
      </c>
      <c r="DR15" s="24">
        <f t="shared" si="26"/>
        <v>12073.743333333332</v>
      </c>
      <c r="DS15" s="24">
        <f t="shared" si="26"/>
        <v>9696.9766666666546</v>
      </c>
      <c r="DT15" s="24">
        <f t="shared" si="26"/>
        <v>8653.1800000000076</v>
      </c>
      <c r="DU15" s="24">
        <f t="shared" si="26"/>
        <v>5183.1933333333291</v>
      </c>
      <c r="DV15" s="24">
        <f t="shared" si="26"/>
        <v>5055.1666666666642</v>
      </c>
      <c r="DW15" s="24">
        <f t="shared" si="26"/>
        <v>4984.6700000000019</v>
      </c>
      <c r="DX15" s="24">
        <f t="shared" si="26"/>
        <v>2793.8233333333301</v>
      </c>
      <c r="DY15" s="24">
        <f t="shared" si="26"/>
        <v>1382.786666666665</v>
      </c>
    </row>
    <row r="16" spans="1:13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7"/>
      <c r="BA16" s="17"/>
      <c r="BB16" s="17"/>
      <c r="BC16" s="17"/>
      <c r="BD16" s="15"/>
      <c r="BE16" s="17"/>
      <c r="BF16" s="17"/>
      <c r="BG16" s="17"/>
      <c r="BH16" s="17"/>
      <c r="BI16" s="17"/>
      <c r="BJ16" s="14"/>
      <c r="BK16" s="16"/>
      <c r="BL16" s="1"/>
      <c r="BM16" s="1"/>
      <c r="BO16" s="37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</row>
    <row r="17" spans="1:129" ht="15.75" thickBot="1" x14ac:dyDescent="0.3">
      <c r="A17" s="1" t="s">
        <v>45</v>
      </c>
      <c r="D17" s="1" t="s">
        <v>46</v>
      </c>
      <c r="E17" s="27">
        <f t="shared" ref="E17:F17" si="27">+E15+E7+E11</f>
        <v>-57445.061666666676</v>
      </c>
      <c r="F17" s="27">
        <f t="shared" si="27"/>
        <v>-50501.574166666673</v>
      </c>
      <c r="G17" s="27">
        <f t="shared" ref="G17:H17" si="28">+G15+G7+G11</f>
        <v>-45849.576666666675</v>
      </c>
      <c r="H17" s="27">
        <f t="shared" si="28"/>
        <v>-41302.7425</v>
      </c>
      <c r="I17" s="27">
        <f t="shared" ref="I17:J17" si="29">+I15+I7+I11</f>
        <v>-33581.205000000002</v>
      </c>
      <c r="J17" s="27">
        <f t="shared" si="29"/>
        <v>-25766.487500000003</v>
      </c>
      <c r="K17" s="27">
        <f t="shared" ref="K17:BV17" si="30">+K15+K7+K11</f>
        <v>-29468.443333333307</v>
      </c>
      <c r="L17" s="27">
        <f t="shared" si="30"/>
        <v>-22257.92666666667</v>
      </c>
      <c r="M17" s="27">
        <f t="shared" si="30"/>
        <v>-21274.033333333333</v>
      </c>
      <c r="N17" s="27">
        <f t="shared" si="30"/>
        <v>-23105.020000000019</v>
      </c>
      <c r="O17" s="27">
        <f t="shared" si="30"/>
        <v>-22795.239999999972</v>
      </c>
      <c r="P17" s="27">
        <f t="shared" si="30"/>
        <v>-25839.039999999994</v>
      </c>
      <c r="Q17" s="94">
        <f t="shared" si="30"/>
        <v>-23261.82666666666</v>
      </c>
      <c r="R17" s="84">
        <f t="shared" si="30"/>
        <v>-19808.250000000004</v>
      </c>
      <c r="S17" s="84">
        <f t="shared" si="30"/>
        <v>-13801.306666666665</v>
      </c>
      <c r="T17" s="84">
        <f t="shared" si="30"/>
        <v>-16602.156666666662</v>
      </c>
      <c r="U17" s="84">
        <f t="shared" si="30"/>
        <v>-15772.136666666665</v>
      </c>
      <c r="V17" s="84">
        <f t="shared" si="30"/>
        <v>-16010.033333333327</v>
      </c>
      <c r="W17" s="84">
        <f t="shared" si="30"/>
        <v>-17548.53</v>
      </c>
      <c r="X17" s="84">
        <f t="shared" si="30"/>
        <v>-16810.006666666657</v>
      </c>
      <c r="Y17" s="84">
        <f t="shared" si="30"/>
        <v>-15838.026666666658</v>
      </c>
      <c r="Z17" s="84">
        <f t="shared" si="30"/>
        <v>-18552.286666666667</v>
      </c>
      <c r="AA17" s="84">
        <f t="shared" si="30"/>
        <v>-23766.733333333326</v>
      </c>
      <c r="AB17" s="27">
        <f t="shared" si="30"/>
        <v>-23073.786666666652</v>
      </c>
      <c r="AC17" s="84">
        <f t="shared" si="30"/>
        <v>-20096.93</v>
      </c>
      <c r="AD17" s="84">
        <f t="shared" si="30"/>
        <v>-17542.303333333319</v>
      </c>
      <c r="AE17" s="84">
        <f t="shared" si="30"/>
        <v>-16549.893333333333</v>
      </c>
      <c r="AF17" s="27">
        <f t="shared" si="30"/>
        <v>-17448.793333333335</v>
      </c>
      <c r="AG17" s="27">
        <f t="shared" si="30"/>
        <v>-17460.87666666666</v>
      </c>
      <c r="AH17" s="27">
        <f t="shared" si="30"/>
        <v>-17755.123333333333</v>
      </c>
      <c r="AI17" s="27">
        <f t="shared" si="30"/>
        <v>-4436.2200000000012</v>
      </c>
      <c r="AJ17" s="27">
        <f t="shared" si="30"/>
        <v>-676.78666666665595</v>
      </c>
      <c r="AK17" s="27">
        <f t="shared" si="30"/>
        <v>-598.77333333332354</v>
      </c>
      <c r="AL17" s="27">
        <f t="shared" si="30"/>
        <v>-2732.070000000007</v>
      </c>
      <c r="AM17" s="27">
        <f t="shared" si="30"/>
        <v>-6296.0366666666559</v>
      </c>
      <c r="AN17" s="27">
        <f t="shared" si="30"/>
        <v>-7397.2933333333294</v>
      </c>
      <c r="AO17" s="27">
        <f t="shared" si="30"/>
        <v>-7486.5200000000041</v>
      </c>
      <c r="AP17" s="27">
        <f t="shared" si="30"/>
        <v>-3547.7466666666551</v>
      </c>
      <c r="AQ17" s="27">
        <f t="shared" si="30"/>
        <v>-4943.4833333333318</v>
      </c>
      <c r="AR17" s="27">
        <f t="shared" si="30"/>
        <v>-6198.1000000000058</v>
      </c>
      <c r="AS17" s="74">
        <f t="shared" si="30"/>
        <v>-4212.1466666666647</v>
      </c>
      <c r="AT17" s="27">
        <f t="shared" si="30"/>
        <v>-6279.8633333333328</v>
      </c>
      <c r="AU17" s="27">
        <f t="shared" si="30"/>
        <v>13323.100000000006</v>
      </c>
      <c r="AV17" s="27">
        <f t="shared" si="30"/>
        <v>16946.233333333348</v>
      </c>
      <c r="AW17" s="27">
        <f t="shared" si="30"/>
        <v>14353.186666666683</v>
      </c>
      <c r="AX17" s="27">
        <f t="shared" si="30"/>
        <v>5994.4000000000087</v>
      </c>
      <c r="AY17" s="27">
        <f t="shared" si="30"/>
        <v>2440.2033333333347</v>
      </c>
      <c r="AZ17" s="27">
        <f t="shared" si="30"/>
        <v>1053.0766666666805</v>
      </c>
      <c r="BA17" s="27">
        <f t="shared" si="30"/>
        <v>-1196.0699999999924</v>
      </c>
      <c r="BB17" s="27">
        <f t="shared" si="30"/>
        <v>-1004.6266666666525</v>
      </c>
      <c r="BC17" s="27">
        <f t="shared" si="30"/>
        <v>-4213.643333333328</v>
      </c>
      <c r="BD17" s="27">
        <f t="shared" si="30"/>
        <v>-7752.2800000000061</v>
      </c>
      <c r="BE17" s="27">
        <f t="shared" si="30"/>
        <v>-8619.1966666666631</v>
      </c>
      <c r="BF17" s="27">
        <f t="shared" si="30"/>
        <v>-10903.053333333337</v>
      </c>
      <c r="BG17" s="27">
        <f t="shared" si="30"/>
        <v>16214.201428571429</v>
      </c>
      <c r="BH17" s="27">
        <f t="shared" si="30"/>
        <v>15068.000476190478</v>
      </c>
      <c r="BI17" s="27">
        <f t="shared" si="30"/>
        <v>13843.749523809525</v>
      </c>
      <c r="BJ17" s="27">
        <f t="shared" si="30"/>
        <v>8660.2100000000064</v>
      </c>
      <c r="BK17" s="27">
        <f t="shared" si="30"/>
        <v>5978.1990476190585</v>
      </c>
      <c r="BL17" s="27">
        <f t="shared" si="30"/>
        <v>897.27238095240136</v>
      </c>
      <c r="BM17" s="27">
        <f t="shared" si="30"/>
        <v>1204.1199999999953</v>
      </c>
      <c r="BN17" s="27">
        <f t="shared" si="30"/>
        <v>368.0033333333522</v>
      </c>
      <c r="BO17" s="56">
        <f t="shared" si="30"/>
        <v>-1393.3933333333352</v>
      </c>
      <c r="BP17" s="27">
        <f t="shared" si="30"/>
        <v>-2305.9400000000023</v>
      </c>
      <c r="BQ17" s="27">
        <f t="shared" si="30"/>
        <v>-1956.9766666666628</v>
      </c>
      <c r="BR17" s="27">
        <f t="shared" si="30"/>
        <v>-986.34333333332734</v>
      </c>
      <c r="BS17" s="27">
        <f t="shared" si="30"/>
        <v>-1152.8199999999888</v>
      </c>
      <c r="BT17" s="27">
        <f t="shared" si="30"/>
        <v>1302.8175757575591</v>
      </c>
      <c r="BU17" s="27">
        <f t="shared" si="30"/>
        <v>1014.4033333333427</v>
      </c>
      <c r="BV17" s="27">
        <f t="shared" si="30"/>
        <v>-242.6933333333327</v>
      </c>
      <c r="BW17" s="27">
        <f t="shared" ref="BW17:DM17" si="31">+BW15+BW7+BW11</f>
        <v>-588.38333333333503</v>
      </c>
      <c r="BX17" s="27">
        <f t="shared" si="31"/>
        <v>-2494.6452380952451</v>
      </c>
      <c r="BY17" s="27">
        <f t="shared" si="31"/>
        <v>629.36000000000422</v>
      </c>
      <c r="BZ17" s="27">
        <f t="shared" si="31"/>
        <v>-431.77333333333081</v>
      </c>
      <c r="CA17" s="27">
        <f t="shared" si="31"/>
        <v>-415.62666666667246</v>
      </c>
      <c r="CB17" s="27">
        <f t="shared" si="31"/>
        <v>-1020.8399999999965</v>
      </c>
      <c r="CC17" s="27">
        <f t="shared" si="31"/>
        <v>-3258.7233333333324</v>
      </c>
      <c r="CD17" s="27">
        <f t="shared" si="31"/>
        <v>-4532.8166666666657</v>
      </c>
      <c r="CE17" s="27">
        <f t="shared" si="31"/>
        <v>11684.929999999989</v>
      </c>
      <c r="CF17" s="27">
        <f t="shared" si="31"/>
        <v>11599.576363636354</v>
      </c>
      <c r="CG17" s="27">
        <f t="shared" si="31"/>
        <v>10191.159999999989</v>
      </c>
      <c r="CH17" s="27">
        <f t="shared" si="31"/>
        <v>8292.9833333333318</v>
      </c>
      <c r="CI17" s="27">
        <f t="shared" si="31"/>
        <v>6203.359999999986</v>
      </c>
      <c r="CJ17" s="27">
        <f t="shared" si="31"/>
        <v>4735.1799999999912</v>
      </c>
      <c r="CK17" s="27">
        <f t="shared" si="31"/>
        <v>5633.7499999999891</v>
      </c>
      <c r="CL17" s="27">
        <f t="shared" si="31"/>
        <v>3507.9899999999975</v>
      </c>
      <c r="CM17" s="27">
        <f t="shared" si="31"/>
        <v>750.90000000000146</v>
      </c>
      <c r="CN17" s="27">
        <f t="shared" si="31"/>
        <v>1411.2400000000021</v>
      </c>
      <c r="CO17" s="27">
        <f t="shared" si="31"/>
        <v>-723.47000000000116</v>
      </c>
      <c r="CP17" s="27">
        <f t="shared" si="31"/>
        <v>-2156.2199999999975</v>
      </c>
      <c r="CQ17" s="27">
        <f t="shared" si="31"/>
        <v>9155.6400000000103</v>
      </c>
      <c r="CR17" s="27">
        <f t="shared" si="31"/>
        <v>10807.483939393935</v>
      </c>
      <c r="CS17" s="27">
        <f t="shared" si="31"/>
        <v>9791.9933333333211</v>
      </c>
      <c r="CT17" s="27">
        <f t="shared" si="31"/>
        <v>9580.8800000000047</v>
      </c>
      <c r="CU17" s="27">
        <f t="shared" si="31"/>
        <v>7095.1266666666634</v>
      </c>
      <c r="CV17" s="27">
        <f t="shared" si="31"/>
        <v>5815.6233333333275</v>
      </c>
      <c r="CW17" s="27">
        <f t="shared" si="31"/>
        <v>6407.7599999999984</v>
      </c>
      <c r="CX17" s="27">
        <f t="shared" si="31"/>
        <v>4384.9066666666658</v>
      </c>
      <c r="CY17" s="27">
        <f t="shared" si="31"/>
        <v>3660.0233333333254</v>
      </c>
      <c r="CZ17" s="27">
        <f t="shared" si="31"/>
        <v>2602.6199999999953</v>
      </c>
      <c r="DA17" s="27">
        <f t="shared" si="31"/>
        <v>-1339.2033333333302</v>
      </c>
      <c r="DB17" s="27">
        <f t="shared" si="31"/>
        <v>-3836.1066666666679</v>
      </c>
      <c r="DC17" s="27">
        <f t="shared" si="31"/>
        <v>17322.449696969721</v>
      </c>
      <c r="DD17" s="27">
        <f t="shared" si="31"/>
        <v>12404.956666666694</v>
      </c>
      <c r="DE17" s="27">
        <f t="shared" si="31"/>
        <v>2144.44333333332</v>
      </c>
      <c r="DF17" s="27">
        <f t="shared" si="31"/>
        <v>125.85333333332892</v>
      </c>
      <c r="DG17" s="27">
        <f t="shared" si="31"/>
        <v>5340.4066666666804</v>
      </c>
      <c r="DH17" s="27">
        <f t="shared" si="31"/>
        <v>6002.229999999985</v>
      </c>
      <c r="DI17" s="27">
        <f t="shared" si="31"/>
        <v>3429.9533333333275</v>
      </c>
      <c r="DJ17" s="27">
        <f t="shared" si="31"/>
        <v>2939.1866666666738</v>
      </c>
      <c r="DK17" s="27">
        <f t="shared" si="31"/>
        <v>2303.2100000000132</v>
      </c>
      <c r="DL17" s="27">
        <f t="shared" si="31"/>
        <v>4287.1933333333427</v>
      </c>
      <c r="DM17" s="27">
        <f t="shared" si="31"/>
        <v>1576.6766666666713</v>
      </c>
      <c r="DN17" s="27">
        <f t="shared" ref="DN17:DY17" si="32">+DN15+DN7</f>
        <v>16823.390909090929</v>
      </c>
      <c r="DO17" s="27">
        <f t="shared" si="32"/>
        <v>16149.454242424239</v>
      </c>
      <c r="DP17" s="27">
        <f t="shared" si="32"/>
        <v>12160.246666666651</v>
      </c>
      <c r="DQ17" s="27">
        <f t="shared" si="32"/>
        <v>9842.5033333333322</v>
      </c>
      <c r="DR17" s="27">
        <f t="shared" si="32"/>
        <v>7159.743333333332</v>
      </c>
      <c r="DS17" s="27">
        <f t="shared" si="32"/>
        <v>4728.9766666666574</v>
      </c>
      <c r="DT17" s="27">
        <f t="shared" si="32"/>
        <v>3641.1800000000112</v>
      </c>
      <c r="DU17" s="27">
        <f t="shared" si="32"/>
        <v>176.79333333332761</v>
      </c>
      <c r="DV17" s="27">
        <f t="shared" si="32"/>
        <v>141.16666666666424</v>
      </c>
      <c r="DW17" s="27">
        <f t="shared" si="32"/>
        <v>-559.32999999999811</v>
      </c>
      <c r="DX17" s="27">
        <f t="shared" si="32"/>
        <v>-1658.1766666666699</v>
      </c>
      <c r="DY17" s="27">
        <f t="shared" si="32"/>
        <v>-2145.213333333335</v>
      </c>
    </row>
    <row r="18" spans="1:129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7"/>
      <c r="BA18" s="17"/>
      <c r="BB18" s="17"/>
      <c r="BC18" s="17"/>
      <c r="BD18" s="15"/>
      <c r="BE18" s="17"/>
      <c r="BF18" s="17"/>
      <c r="BG18" s="17"/>
      <c r="BH18" s="17"/>
      <c r="BI18" s="17"/>
      <c r="BJ18" s="14"/>
      <c r="BK18" s="16"/>
      <c r="BL18" s="1"/>
      <c r="BM18" s="1"/>
      <c r="BO18" s="37"/>
    </row>
    <row r="19" spans="1:129" x14ac:dyDescent="0.25">
      <c r="A19" s="75" t="s">
        <v>47</v>
      </c>
      <c r="D19" s="1" t="s">
        <v>48</v>
      </c>
      <c r="E19" s="26">
        <v>202896.69</v>
      </c>
      <c r="F19" s="26">
        <v>209087.21</v>
      </c>
      <c r="G19" s="26">
        <v>216854.96</v>
      </c>
      <c r="H19" s="26">
        <v>206840.68</v>
      </c>
      <c r="I19" s="26">
        <v>204640.3</v>
      </c>
      <c r="J19" s="26">
        <v>206498.38</v>
      </c>
      <c r="K19" s="26">
        <v>206602.87</v>
      </c>
      <c r="L19" s="26">
        <v>205718.89</v>
      </c>
      <c r="M19" s="26">
        <v>208325.66</v>
      </c>
      <c r="N19" s="26">
        <v>212593.24</v>
      </c>
      <c r="O19" s="26">
        <v>224564.19</v>
      </c>
      <c r="P19" s="26">
        <v>221693.38</v>
      </c>
      <c r="Q19" s="93">
        <v>228485.13</v>
      </c>
      <c r="R19" s="50">
        <v>247712.69</v>
      </c>
      <c r="S19" s="50">
        <v>231128.26</v>
      </c>
      <c r="T19" s="50">
        <v>226942.72</v>
      </c>
      <c r="U19" s="50">
        <v>231145.60000000001</v>
      </c>
      <c r="V19" s="50">
        <v>231734.62</v>
      </c>
      <c r="W19" s="50">
        <v>230870.1</v>
      </c>
      <c r="X19" s="50">
        <v>222921.39</v>
      </c>
      <c r="Y19" s="50">
        <v>225076.97</v>
      </c>
      <c r="Z19" s="50">
        <v>228167.57</v>
      </c>
      <c r="AA19" s="50">
        <v>227035.81</v>
      </c>
      <c r="AB19" s="50">
        <v>229268.95</v>
      </c>
      <c r="AC19" s="50">
        <v>234617.17</v>
      </c>
      <c r="AD19" s="50">
        <v>240790.82</v>
      </c>
      <c r="AE19" s="50">
        <v>249066.92</v>
      </c>
      <c r="AF19" s="50">
        <v>243120.21</v>
      </c>
      <c r="AG19" s="50">
        <v>241131.46</v>
      </c>
      <c r="AH19" s="50">
        <v>242033.65</v>
      </c>
      <c r="AI19" s="50">
        <v>244725.1</v>
      </c>
      <c r="AJ19" s="50">
        <v>226625.55</v>
      </c>
      <c r="AK19" s="50">
        <v>226608.28</v>
      </c>
      <c r="AL19" s="50">
        <v>229510.33</v>
      </c>
      <c r="AM19" s="50">
        <v>232511.29</v>
      </c>
      <c r="AN19" s="50">
        <v>234286.13</v>
      </c>
      <c r="AO19" s="50">
        <v>236172.23</v>
      </c>
      <c r="AP19" s="50">
        <v>242756.93</v>
      </c>
      <c r="AQ19" s="50">
        <v>247702.06</v>
      </c>
      <c r="AR19" s="50">
        <v>235877.87</v>
      </c>
      <c r="AS19" s="50">
        <v>234462.44</v>
      </c>
      <c r="AT19" s="50">
        <v>232551.07</v>
      </c>
      <c r="AU19" s="50">
        <v>227223.46</v>
      </c>
      <c r="AV19" s="50">
        <v>222291.28</v>
      </c>
      <c r="AW19" s="50">
        <v>222964.41</v>
      </c>
      <c r="AX19" s="50">
        <v>220065.09</v>
      </c>
      <c r="AY19" s="50">
        <v>219445.58</v>
      </c>
      <c r="AZ19" s="50">
        <v>221905.46</v>
      </c>
      <c r="BA19" s="50">
        <v>221376.32</v>
      </c>
      <c r="BB19" s="50">
        <v>226540.87</v>
      </c>
      <c r="BC19" s="50">
        <v>228537.46</v>
      </c>
      <c r="BD19" s="50">
        <v>218238.76</v>
      </c>
      <c r="BE19" s="50">
        <v>217631.22</v>
      </c>
      <c r="BF19" s="50">
        <v>215799.79</v>
      </c>
      <c r="BG19" s="50">
        <v>213717.5</v>
      </c>
      <c r="BH19" s="50">
        <v>200455.16</v>
      </c>
      <c r="BI19" s="50">
        <v>199174.08</v>
      </c>
      <c r="BJ19" s="18">
        <v>198871.91</v>
      </c>
      <c r="BK19" s="18">
        <v>201633.03</v>
      </c>
      <c r="BL19" s="26">
        <v>198427.36</v>
      </c>
      <c r="BM19" s="9">
        <v>201764.75</v>
      </c>
      <c r="BN19" s="9">
        <v>204090.18</v>
      </c>
      <c r="BO19" s="11">
        <v>204811.16</v>
      </c>
      <c r="BP19" s="9">
        <v>207426.69</v>
      </c>
      <c r="BQ19" s="9">
        <v>208671.66</v>
      </c>
      <c r="BR19" s="9">
        <v>205831.41</v>
      </c>
      <c r="BS19" s="9">
        <v>196400.27</v>
      </c>
      <c r="BT19" s="9">
        <v>183372.72</v>
      </c>
      <c r="BU19" s="9">
        <v>187318.57</v>
      </c>
      <c r="BV19" s="9">
        <v>192689.72</v>
      </c>
      <c r="BW19" s="9">
        <v>196488.25</v>
      </c>
      <c r="BX19" s="9">
        <v>199939.96</v>
      </c>
      <c r="BY19" s="9">
        <v>206509.62</v>
      </c>
      <c r="BZ19" s="9">
        <v>208026.37</v>
      </c>
      <c r="CA19" s="9">
        <v>226589.55</v>
      </c>
      <c r="CB19" s="9">
        <v>236966</v>
      </c>
      <c r="CC19" s="9">
        <v>216536.92</v>
      </c>
      <c r="CD19" s="9">
        <v>208852.88</v>
      </c>
      <c r="CE19" s="9">
        <v>208084.34</v>
      </c>
      <c r="CF19" s="9">
        <v>190910.57</v>
      </c>
      <c r="CG19" s="9">
        <v>195109.54</v>
      </c>
      <c r="CH19" s="9">
        <v>196661.4</v>
      </c>
      <c r="CI19" s="9">
        <v>198062.31</v>
      </c>
      <c r="CJ19" s="9">
        <v>201360.67</v>
      </c>
      <c r="CK19" s="9">
        <v>205295.41</v>
      </c>
      <c r="CL19" s="9">
        <v>222436.86</v>
      </c>
      <c r="CM19" s="9">
        <v>223214.74</v>
      </c>
      <c r="CN19" s="9">
        <v>225441.26</v>
      </c>
      <c r="CO19" s="9">
        <v>200070.68</v>
      </c>
      <c r="CP19" s="9">
        <v>190292.37</v>
      </c>
      <c r="CQ19" s="25">
        <v>183451.03</v>
      </c>
      <c r="CR19" s="25">
        <v>165527.87</v>
      </c>
      <c r="CS19" s="25">
        <v>169705.41</v>
      </c>
      <c r="CT19" s="25">
        <v>171598.07</v>
      </c>
      <c r="CU19" s="25">
        <v>171675.05</v>
      </c>
      <c r="CV19" s="10">
        <v>174179.87</v>
      </c>
      <c r="CW19" s="10">
        <v>196037.68</v>
      </c>
      <c r="CX19" s="10">
        <v>201222.8</v>
      </c>
      <c r="CY19" s="10">
        <v>199351.59</v>
      </c>
      <c r="CZ19" s="10">
        <v>182578.38</v>
      </c>
      <c r="DA19" s="10">
        <v>172974.49</v>
      </c>
      <c r="DB19" s="10">
        <v>168857.21</v>
      </c>
      <c r="DC19" s="10">
        <v>138236.38</v>
      </c>
      <c r="DD19" s="10">
        <v>139914.1</v>
      </c>
      <c r="DE19" s="10">
        <v>136897.97</v>
      </c>
      <c r="DF19" s="10">
        <v>133154.15</v>
      </c>
      <c r="DG19" s="10">
        <v>141056.29</v>
      </c>
      <c r="DH19" s="10">
        <v>146472.87</v>
      </c>
      <c r="DI19" s="10">
        <v>171294.25</v>
      </c>
      <c r="DJ19" s="10">
        <v>171543.28</v>
      </c>
      <c r="DK19" s="10">
        <v>155924.75</v>
      </c>
      <c r="DL19" s="10">
        <v>154498.1</v>
      </c>
      <c r="DM19" s="10">
        <v>152371.14000000001</v>
      </c>
      <c r="DN19" s="10">
        <v>120388.32</v>
      </c>
      <c r="DO19" s="10">
        <v>99920.19</v>
      </c>
      <c r="DP19" s="10">
        <v>101238.88</v>
      </c>
      <c r="DQ19" s="10">
        <v>105639.09</v>
      </c>
      <c r="DR19" s="10">
        <v>108992.54</v>
      </c>
      <c r="DS19" s="10">
        <v>112437.44</v>
      </c>
      <c r="DT19" s="10">
        <v>113633.69</v>
      </c>
      <c r="DU19" s="10">
        <v>115805.19</v>
      </c>
      <c r="DV19" s="10">
        <v>157672.74</v>
      </c>
      <c r="DW19" s="10">
        <v>164947.21</v>
      </c>
      <c r="DX19" s="10">
        <v>154575.5</v>
      </c>
      <c r="DY19" s="10">
        <v>151253.48000000001</v>
      </c>
    </row>
    <row r="20" spans="1:12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50">
        <v>-49286.32</v>
      </c>
      <c r="BG20" s="50">
        <v>-49286.32</v>
      </c>
      <c r="BH20" s="50">
        <v>-49286.32</v>
      </c>
      <c r="BI20" s="50">
        <v>-49286.32</v>
      </c>
      <c r="BJ20" s="18">
        <v>-49286.32</v>
      </c>
      <c r="BK20" s="18">
        <v>-49286.32</v>
      </c>
      <c r="BL20" s="26">
        <v>-49286.32</v>
      </c>
      <c r="BM20" s="9">
        <v>-49286.32</v>
      </c>
      <c r="BN20" s="9">
        <v>-52772.84</v>
      </c>
      <c r="BO20" s="11">
        <v>-52772.84</v>
      </c>
      <c r="BP20" s="9">
        <v>-52772.84</v>
      </c>
      <c r="BQ20" s="9">
        <v>-52772.84</v>
      </c>
      <c r="BR20" s="9">
        <v>-52772.84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-49435.3</v>
      </c>
      <c r="BZ20" s="9">
        <v>-49435.3</v>
      </c>
      <c r="CA20" s="9">
        <v>-49435.3</v>
      </c>
      <c r="CB20" s="9">
        <v>-49435.3</v>
      </c>
      <c r="CC20" s="9">
        <v>-49435.3</v>
      </c>
      <c r="CD20" s="9">
        <v>-49435.3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9">
        <v>-49532.62</v>
      </c>
      <c r="CL20" s="9">
        <v>-49532.62</v>
      </c>
      <c r="CM20" s="9">
        <v>-49532.62</v>
      </c>
      <c r="CN20" s="9">
        <v>-49532.62</v>
      </c>
      <c r="CO20" s="9">
        <v>-49532.62</v>
      </c>
      <c r="CP20" s="9">
        <v>-49532.62</v>
      </c>
      <c r="CQ20" s="26">
        <v>-50647.44</v>
      </c>
      <c r="CR20" s="26">
        <v>-48110.63</v>
      </c>
      <c r="CS20" s="26">
        <v>-47041.58</v>
      </c>
      <c r="CT20" s="26">
        <v>-47041.58</v>
      </c>
      <c r="CU20" s="26">
        <v>-47041.58</v>
      </c>
      <c r="CV20" s="10">
        <v>-47041.58</v>
      </c>
      <c r="CW20" s="10">
        <v>-47041.58</v>
      </c>
      <c r="CX20" s="10">
        <v>-47041.58</v>
      </c>
      <c r="CY20" s="10">
        <v>-47041.58</v>
      </c>
      <c r="CZ20" s="10">
        <v>-47041.58</v>
      </c>
      <c r="DA20" s="10">
        <v>-47041.58</v>
      </c>
      <c r="DB20" s="10">
        <v>-47041.58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-46210.35</v>
      </c>
      <c r="DI20" s="10">
        <v>-46210.35</v>
      </c>
      <c r="DJ20" s="10">
        <v>-46210.35</v>
      </c>
      <c r="DK20" s="10">
        <v>-46210.35</v>
      </c>
      <c r="DL20" s="10">
        <v>-46210.35</v>
      </c>
      <c r="DM20" s="10">
        <v>-46210.35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  <c r="DT20" s="10">
        <v>-47919.53</v>
      </c>
      <c r="DU20" s="10">
        <v>-47919.53</v>
      </c>
      <c r="DV20" s="10">
        <v>-47919.53</v>
      </c>
      <c r="DW20" s="10">
        <v>-47919.53</v>
      </c>
      <c r="DX20" s="10">
        <v>-47919.53</v>
      </c>
      <c r="DY20" s="10">
        <v>-47919.53</v>
      </c>
    </row>
    <row r="21" spans="1:129" ht="15.75" customHeight="1" x14ac:dyDescent="0.25">
      <c r="A21" s="1" t="s">
        <v>45</v>
      </c>
      <c r="E21" s="28">
        <f t="shared" ref="E21:F21" si="33">SUM(E19:E20)</f>
        <v>153610.37</v>
      </c>
      <c r="F21" s="28">
        <f t="shared" si="33"/>
        <v>159800.88999999998</v>
      </c>
      <c r="G21" s="28">
        <f t="shared" ref="G21:H21" si="34">SUM(G19:G20)</f>
        <v>167568.63999999998</v>
      </c>
      <c r="H21" s="28">
        <f t="shared" si="34"/>
        <v>157554.35999999999</v>
      </c>
      <c r="I21" s="28">
        <f t="shared" ref="I21:J21" si="35">SUM(I19:I20)</f>
        <v>155353.97999999998</v>
      </c>
      <c r="J21" s="28">
        <f t="shared" si="35"/>
        <v>157212.06</v>
      </c>
      <c r="K21" s="28">
        <f t="shared" ref="K21:L21" si="36">SUM(K19:K20)</f>
        <v>157316.54999999999</v>
      </c>
      <c r="L21" s="28">
        <f t="shared" si="36"/>
        <v>156432.57</v>
      </c>
      <c r="M21" s="28">
        <f t="shared" ref="M21:BX21" si="37">SUM(M19:M20)</f>
        <v>159039.34</v>
      </c>
      <c r="N21" s="28">
        <f t="shared" si="37"/>
        <v>163306.91999999998</v>
      </c>
      <c r="O21" s="28">
        <f t="shared" si="37"/>
        <v>175277.87</v>
      </c>
      <c r="P21" s="28">
        <f t="shared" si="37"/>
        <v>172407.06</v>
      </c>
      <c r="Q21" s="95">
        <f t="shared" si="37"/>
        <v>179198.81</v>
      </c>
      <c r="R21" s="82">
        <f t="shared" si="37"/>
        <v>198426.37</v>
      </c>
      <c r="S21" s="82">
        <f t="shared" si="37"/>
        <v>181841.94</v>
      </c>
      <c r="T21" s="82">
        <f t="shared" si="37"/>
        <v>177656.4</v>
      </c>
      <c r="U21" s="82">
        <f t="shared" si="37"/>
        <v>181859.28</v>
      </c>
      <c r="V21" s="82">
        <f t="shared" si="37"/>
        <v>182448.3</v>
      </c>
      <c r="W21" s="82">
        <f t="shared" si="37"/>
        <v>181583.78</v>
      </c>
      <c r="X21" s="82">
        <f t="shared" si="37"/>
        <v>173635.07</v>
      </c>
      <c r="Y21" s="82">
        <f t="shared" si="37"/>
        <v>175790.65</v>
      </c>
      <c r="Z21" s="82">
        <f t="shared" si="37"/>
        <v>178881.25</v>
      </c>
      <c r="AA21" s="82">
        <f t="shared" si="37"/>
        <v>177749.49</v>
      </c>
      <c r="AB21" s="28">
        <f t="shared" si="37"/>
        <v>179982.63</v>
      </c>
      <c r="AC21" s="82">
        <f t="shared" si="37"/>
        <v>185330.85</v>
      </c>
      <c r="AD21" s="82">
        <f t="shared" si="37"/>
        <v>191504.5</v>
      </c>
      <c r="AE21" s="82">
        <f t="shared" si="37"/>
        <v>199780.6</v>
      </c>
      <c r="AF21" s="28">
        <f t="shared" si="37"/>
        <v>193833.88999999998</v>
      </c>
      <c r="AG21" s="28">
        <f t="shared" si="37"/>
        <v>191845.13999999998</v>
      </c>
      <c r="AH21" s="28">
        <f t="shared" si="37"/>
        <v>192747.33</v>
      </c>
      <c r="AI21" s="28">
        <f t="shared" si="37"/>
        <v>195438.78</v>
      </c>
      <c r="AJ21" s="28">
        <f t="shared" si="37"/>
        <v>177339.22999999998</v>
      </c>
      <c r="AK21" s="28">
        <f t="shared" si="37"/>
        <v>177321.96</v>
      </c>
      <c r="AL21" s="28">
        <f t="shared" si="37"/>
        <v>180224.00999999998</v>
      </c>
      <c r="AM21" s="28">
        <f t="shared" si="37"/>
        <v>183224.97</v>
      </c>
      <c r="AN21" s="28">
        <f t="shared" si="37"/>
        <v>184999.81</v>
      </c>
      <c r="AO21" s="28">
        <f t="shared" si="37"/>
        <v>186885.91</v>
      </c>
      <c r="AP21" s="28">
        <f t="shared" si="37"/>
        <v>193470.61</v>
      </c>
      <c r="AQ21" s="28">
        <f t="shared" si="37"/>
        <v>198415.74</v>
      </c>
      <c r="AR21" s="28">
        <f t="shared" si="37"/>
        <v>186591.55</v>
      </c>
      <c r="AS21" s="28">
        <f t="shared" si="37"/>
        <v>185176.12</v>
      </c>
      <c r="AT21" s="28">
        <f t="shared" si="37"/>
        <v>183264.75</v>
      </c>
      <c r="AU21" s="28">
        <f t="shared" si="37"/>
        <v>177937.13999999998</v>
      </c>
      <c r="AV21" s="28">
        <f t="shared" si="37"/>
        <v>173004.96</v>
      </c>
      <c r="AW21" s="28">
        <f t="shared" si="37"/>
        <v>173678.09</v>
      </c>
      <c r="AX21" s="28">
        <f t="shared" si="37"/>
        <v>170778.77</v>
      </c>
      <c r="AY21" s="28">
        <f t="shared" si="37"/>
        <v>170159.25999999998</v>
      </c>
      <c r="AZ21" s="28">
        <f t="shared" si="37"/>
        <v>172619.13999999998</v>
      </c>
      <c r="BA21" s="28">
        <f t="shared" si="37"/>
        <v>172090</v>
      </c>
      <c r="BB21" s="28">
        <f t="shared" si="37"/>
        <v>177254.55</v>
      </c>
      <c r="BC21" s="28">
        <f t="shared" si="37"/>
        <v>179251.13999999998</v>
      </c>
      <c r="BD21" s="28">
        <f t="shared" si="37"/>
        <v>168952.44</v>
      </c>
      <c r="BE21" s="28">
        <f t="shared" si="37"/>
        <v>168344.9</v>
      </c>
      <c r="BF21" s="28">
        <f t="shared" si="37"/>
        <v>166513.47</v>
      </c>
      <c r="BG21" s="28">
        <f t="shared" si="37"/>
        <v>164431.18</v>
      </c>
      <c r="BH21" s="28">
        <f t="shared" si="37"/>
        <v>151168.84</v>
      </c>
      <c r="BI21" s="28">
        <f t="shared" si="37"/>
        <v>149887.75999999998</v>
      </c>
      <c r="BJ21" s="28">
        <f t="shared" si="37"/>
        <v>149585.59</v>
      </c>
      <c r="BK21" s="28">
        <f t="shared" si="37"/>
        <v>152346.71</v>
      </c>
      <c r="BL21" s="57">
        <f t="shared" si="37"/>
        <v>149141.03999999998</v>
      </c>
      <c r="BM21" s="28">
        <f t="shared" si="37"/>
        <v>152478.43</v>
      </c>
      <c r="BN21" s="28">
        <f t="shared" si="37"/>
        <v>151317.34</v>
      </c>
      <c r="BO21" s="58">
        <f t="shared" si="37"/>
        <v>152038.32</v>
      </c>
      <c r="BP21" s="28">
        <f t="shared" si="37"/>
        <v>154653.85</v>
      </c>
      <c r="BQ21" s="28">
        <f t="shared" si="37"/>
        <v>155898.82</v>
      </c>
      <c r="BR21" s="28">
        <f t="shared" si="37"/>
        <v>153058.57</v>
      </c>
      <c r="BS21" s="28">
        <f t="shared" si="37"/>
        <v>146964.96999999997</v>
      </c>
      <c r="BT21" s="28">
        <f t="shared" si="37"/>
        <v>133937.41999999998</v>
      </c>
      <c r="BU21" s="28">
        <f t="shared" si="37"/>
        <v>137883.27000000002</v>
      </c>
      <c r="BV21" s="28">
        <f t="shared" si="37"/>
        <v>143254.41999999998</v>
      </c>
      <c r="BW21" s="28">
        <f t="shared" si="37"/>
        <v>147052.95000000001</v>
      </c>
      <c r="BX21" s="28">
        <f t="shared" si="37"/>
        <v>150504.65999999997</v>
      </c>
      <c r="BY21" s="28">
        <f t="shared" ref="BY21:DY21" si="38">SUM(BY19:BY20)</f>
        <v>157074.32</v>
      </c>
      <c r="BZ21" s="28">
        <f t="shared" si="38"/>
        <v>158591.07</v>
      </c>
      <c r="CA21" s="28">
        <f t="shared" si="38"/>
        <v>177154.25</v>
      </c>
      <c r="CB21" s="28">
        <f t="shared" si="38"/>
        <v>187530.7</v>
      </c>
      <c r="CC21" s="28">
        <f t="shared" si="38"/>
        <v>167101.62</v>
      </c>
      <c r="CD21" s="28">
        <f t="shared" si="38"/>
        <v>159417.58000000002</v>
      </c>
      <c r="CE21" s="28">
        <f t="shared" si="38"/>
        <v>158551.72</v>
      </c>
      <c r="CF21" s="28">
        <f t="shared" si="38"/>
        <v>141377.95000000001</v>
      </c>
      <c r="CG21" s="28">
        <f t="shared" si="38"/>
        <v>145576.92000000001</v>
      </c>
      <c r="CH21" s="28">
        <f t="shared" si="38"/>
        <v>147128.78</v>
      </c>
      <c r="CI21" s="28">
        <f t="shared" si="38"/>
        <v>148529.69</v>
      </c>
      <c r="CJ21" s="28">
        <f t="shared" si="38"/>
        <v>151828.05000000002</v>
      </c>
      <c r="CK21" s="28">
        <f t="shared" si="38"/>
        <v>155762.79</v>
      </c>
      <c r="CL21" s="28">
        <f t="shared" si="38"/>
        <v>172904.24</v>
      </c>
      <c r="CM21" s="28">
        <f t="shared" si="38"/>
        <v>173682.12</v>
      </c>
      <c r="CN21" s="28">
        <f t="shared" si="38"/>
        <v>175908.64</v>
      </c>
      <c r="CO21" s="28">
        <f t="shared" si="38"/>
        <v>150538.06</v>
      </c>
      <c r="CP21" s="28">
        <f t="shared" si="38"/>
        <v>140759.75</v>
      </c>
      <c r="CQ21" s="28">
        <f t="shared" si="38"/>
        <v>132803.59</v>
      </c>
      <c r="CR21" s="28">
        <f t="shared" si="38"/>
        <v>117417.23999999999</v>
      </c>
      <c r="CS21" s="28">
        <f t="shared" si="38"/>
        <v>122663.83</v>
      </c>
      <c r="CT21" s="28">
        <f t="shared" si="38"/>
        <v>124556.49</v>
      </c>
      <c r="CU21" s="28">
        <f t="shared" si="38"/>
        <v>124633.46999999999</v>
      </c>
      <c r="CV21" s="28">
        <f t="shared" si="38"/>
        <v>127138.29</v>
      </c>
      <c r="CW21" s="28">
        <f t="shared" si="38"/>
        <v>148996.09999999998</v>
      </c>
      <c r="CX21" s="28">
        <f t="shared" si="38"/>
        <v>154181.21999999997</v>
      </c>
      <c r="CY21" s="28">
        <f t="shared" si="38"/>
        <v>152310.01</v>
      </c>
      <c r="CZ21" s="28">
        <f t="shared" si="38"/>
        <v>135536.79999999999</v>
      </c>
      <c r="DA21" s="28">
        <f t="shared" si="38"/>
        <v>125932.90999999999</v>
      </c>
      <c r="DB21" s="28">
        <f t="shared" si="38"/>
        <v>121815.62999999999</v>
      </c>
      <c r="DC21" s="28">
        <f t="shared" si="38"/>
        <v>92026.03</v>
      </c>
      <c r="DD21" s="28">
        <f t="shared" si="38"/>
        <v>93703.75</v>
      </c>
      <c r="DE21" s="28">
        <f t="shared" si="38"/>
        <v>90687.62</v>
      </c>
      <c r="DF21" s="28">
        <f t="shared" si="38"/>
        <v>86943.799999999988</v>
      </c>
      <c r="DG21" s="28">
        <f t="shared" si="38"/>
        <v>94845.94</v>
      </c>
      <c r="DH21" s="28">
        <f t="shared" si="38"/>
        <v>100262.51999999999</v>
      </c>
      <c r="DI21" s="28">
        <f t="shared" si="38"/>
        <v>125083.9</v>
      </c>
      <c r="DJ21" s="28">
        <f t="shared" si="38"/>
        <v>125332.93</v>
      </c>
      <c r="DK21" s="28">
        <f t="shared" si="38"/>
        <v>109714.4</v>
      </c>
      <c r="DL21" s="28">
        <f t="shared" si="38"/>
        <v>108287.75</v>
      </c>
      <c r="DM21" s="28">
        <f t="shared" si="38"/>
        <v>106160.79000000001</v>
      </c>
      <c r="DN21" s="28">
        <f t="shared" si="38"/>
        <v>72468.790000000008</v>
      </c>
      <c r="DO21" s="28">
        <f t="shared" si="38"/>
        <v>52000.66</v>
      </c>
      <c r="DP21" s="28">
        <f t="shared" si="38"/>
        <v>53319.350000000006</v>
      </c>
      <c r="DQ21" s="28">
        <f t="shared" si="38"/>
        <v>57719.56</v>
      </c>
      <c r="DR21" s="28">
        <f t="shared" si="38"/>
        <v>61073.009999999995</v>
      </c>
      <c r="DS21" s="28">
        <f t="shared" si="38"/>
        <v>64517.91</v>
      </c>
      <c r="DT21" s="28">
        <f t="shared" si="38"/>
        <v>65714.16</v>
      </c>
      <c r="DU21" s="28">
        <f t="shared" si="38"/>
        <v>67885.66</v>
      </c>
      <c r="DV21" s="28">
        <f t="shared" si="38"/>
        <v>109753.20999999999</v>
      </c>
      <c r="DW21" s="28">
        <f t="shared" si="38"/>
        <v>117027.68</v>
      </c>
      <c r="DX21" s="28">
        <f t="shared" si="38"/>
        <v>106655.97</v>
      </c>
      <c r="DY21" s="28">
        <f t="shared" si="38"/>
        <v>103333.95000000001</v>
      </c>
    </row>
    <row r="22" spans="1:12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7"/>
      <c r="BB22" s="17"/>
      <c r="BC22" s="17"/>
      <c r="BD22" s="15"/>
      <c r="BE22" s="17"/>
      <c r="BF22" s="17"/>
      <c r="BG22" s="17"/>
      <c r="BH22" s="17"/>
      <c r="BI22" s="17"/>
      <c r="BJ22" s="14"/>
      <c r="BK22" s="16"/>
      <c r="BL22" s="1"/>
      <c r="BM22" s="1"/>
    </row>
    <row r="23" spans="1:129" ht="15.75" customHeight="1" x14ac:dyDescent="0.25">
      <c r="A23" s="75" t="s">
        <v>51</v>
      </c>
      <c r="D23" s="1" t="s">
        <v>52</v>
      </c>
      <c r="E23" s="25">
        <v>14527.67</v>
      </c>
      <c r="F23" s="25">
        <v>14527.67</v>
      </c>
      <c r="G23" s="25">
        <v>15514.07</v>
      </c>
      <c r="H23" s="25">
        <v>4197.7700000000004</v>
      </c>
      <c r="I23" s="25">
        <v>0</v>
      </c>
      <c r="J23" s="25">
        <v>0</v>
      </c>
      <c r="K23" s="25">
        <v>12659.6</v>
      </c>
      <c r="L23" s="25">
        <v>12039</v>
      </c>
      <c r="M23" s="25">
        <v>7392.3</v>
      </c>
      <c r="N23" s="25">
        <v>7392.3</v>
      </c>
      <c r="O23" s="25">
        <v>16669.060000000001</v>
      </c>
      <c r="P23" s="25">
        <v>16669.060000000001</v>
      </c>
      <c r="Q23" s="92">
        <v>17197.54</v>
      </c>
      <c r="R23" s="45">
        <v>29077.48</v>
      </c>
      <c r="S23" s="45">
        <v>8091.58</v>
      </c>
      <c r="T23" s="45">
        <v>-2403.9299999999998</v>
      </c>
      <c r="U23" s="45">
        <v>-818.93</v>
      </c>
      <c r="V23" s="45">
        <v>-818.93</v>
      </c>
      <c r="W23" s="45">
        <v>17389.330000000002</v>
      </c>
      <c r="X23" s="45">
        <v>17367.07</v>
      </c>
      <c r="Y23" s="45">
        <v>14080.98</v>
      </c>
      <c r="Z23" s="45">
        <v>14080.98</v>
      </c>
      <c r="AA23" s="45">
        <v>14080.98</v>
      </c>
      <c r="AB23" s="45">
        <v>14080.98</v>
      </c>
      <c r="AC23" s="45">
        <v>14080.98</v>
      </c>
      <c r="AD23" s="45">
        <v>14080.98</v>
      </c>
      <c r="AE23" s="45">
        <v>15430.98</v>
      </c>
      <c r="AF23" s="45">
        <v>6570.2</v>
      </c>
      <c r="AG23" s="45">
        <v>-55.23</v>
      </c>
      <c r="AH23" s="45">
        <v>-55.23</v>
      </c>
      <c r="AI23" s="45">
        <v>16753.84</v>
      </c>
      <c r="AJ23" s="45">
        <v>16758.93</v>
      </c>
      <c r="AK23" s="45">
        <v>16916.72</v>
      </c>
      <c r="AL23" s="45">
        <v>16925.97</v>
      </c>
      <c r="AM23" s="45">
        <v>16925.97</v>
      </c>
      <c r="AN23" s="45">
        <v>16925.97</v>
      </c>
      <c r="AO23" s="45">
        <v>16925.97</v>
      </c>
      <c r="AP23" s="45">
        <v>16925.97</v>
      </c>
      <c r="AQ23" s="45">
        <v>19332.150000000001</v>
      </c>
      <c r="AR23" s="45">
        <v>5827.48</v>
      </c>
      <c r="AS23" s="45">
        <v>-220.91</v>
      </c>
      <c r="AT23" s="45">
        <v>-220.91</v>
      </c>
      <c r="AU23" s="45">
        <v>12075.39</v>
      </c>
      <c r="AV23" s="45">
        <v>12085.57</v>
      </c>
      <c r="AW23" s="45">
        <v>12186.24</v>
      </c>
      <c r="AX23" s="45">
        <v>12314.2</v>
      </c>
      <c r="AY23" s="45">
        <v>12314.2</v>
      </c>
      <c r="AZ23" s="45">
        <v>12314.2</v>
      </c>
      <c r="BA23" s="45">
        <v>12314.2</v>
      </c>
      <c r="BB23" s="45">
        <v>12314.2</v>
      </c>
      <c r="BC23" s="45">
        <v>12680.2</v>
      </c>
      <c r="BD23" s="45">
        <v>2052.88</v>
      </c>
      <c r="BE23" s="45">
        <v>0</v>
      </c>
      <c r="BF23" s="45">
        <v>0</v>
      </c>
      <c r="BG23" s="45">
        <v>9553.5400000000009</v>
      </c>
      <c r="BH23" s="45">
        <v>9872.83</v>
      </c>
      <c r="BI23" s="45">
        <v>9891.52</v>
      </c>
      <c r="BJ23" s="19">
        <v>9914.73</v>
      </c>
      <c r="BK23" s="19">
        <v>9914.73</v>
      </c>
      <c r="BL23" s="25">
        <v>9914.73</v>
      </c>
      <c r="BM23" s="25">
        <v>9914.73</v>
      </c>
      <c r="BN23" s="25">
        <v>9977.82</v>
      </c>
      <c r="BO23" s="25"/>
      <c r="BP23" s="25"/>
      <c r="BQ23" s="25"/>
      <c r="BR23" s="25"/>
      <c r="BS23" s="25">
        <v>2159.13</v>
      </c>
      <c r="BT23" s="25">
        <v>2059.13</v>
      </c>
      <c r="BU23" s="25">
        <v>2059.13</v>
      </c>
      <c r="BV23" s="25">
        <v>2059.13</v>
      </c>
      <c r="BW23" s="25">
        <v>2059.13</v>
      </c>
      <c r="BX23" s="25">
        <v>2059.13</v>
      </c>
      <c r="BY23" s="25">
        <v>2059.13</v>
      </c>
      <c r="BZ23" s="25">
        <v>2059.13</v>
      </c>
      <c r="CA23" s="25"/>
      <c r="CB23" s="25"/>
      <c r="CC23" s="25"/>
      <c r="CD23" s="25"/>
      <c r="CE23" s="25">
        <v>15327.16</v>
      </c>
      <c r="CF23" s="25">
        <v>15327.16</v>
      </c>
      <c r="CG23" s="25">
        <v>15327.16</v>
      </c>
      <c r="CH23" s="25">
        <v>15327.16</v>
      </c>
      <c r="CI23" s="25">
        <v>15327.16</v>
      </c>
      <c r="CJ23" s="25">
        <v>15327.16</v>
      </c>
      <c r="CK23" s="25">
        <v>15327.16</v>
      </c>
      <c r="CL23" s="25">
        <v>15327.16</v>
      </c>
      <c r="CQ23" s="59">
        <v>11273.89</v>
      </c>
      <c r="CR23" s="59">
        <v>11273.89</v>
      </c>
      <c r="CS23" s="59">
        <v>11273.89</v>
      </c>
      <c r="CT23" s="59">
        <v>11273.89</v>
      </c>
      <c r="CU23" s="59">
        <v>11273.89</v>
      </c>
      <c r="CV23" s="59">
        <v>11273.89</v>
      </c>
      <c r="CW23" s="59"/>
      <c r="CX23" s="59"/>
      <c r="CY23" s="59"/>
      <c r="CZ23" s="59"/>
      <c r="DA23" s="59"/>
      <c r="DB23" s="59"/>
      <c r="DC23" s="59">
        <v>12836.49</v>
      </c>
      <c r="DD23" s="59">
        <v>13124.2</v>
      </c>
      <c r="DE23" s="59">
        <v>13755</v>
      </c>
      <c r="DF23" s="59">
        <v>13755</v>
      </c>
      <c r="DG23" s="59">
        <v>13755</v>
      </c>
      <c r="DH23" s="59">
        <v>15375.21</v>
      </c>
      <c r="DI23" s="60" t="s">
        <v>53</v>
      </c>
      <c r="DJ23" s="60" t="s">
        <v>53</v>
      </c>
      <c r="DK23" s="60" t="s">
        <v>53</v>
      </c>
      <c r="DL23" s="60" t="s">
        <v>53</v>
      </c>
      <c r="DM23" s="60" t="s">
        <v>53</v>
      </c>
      <c r="DN23" s="59">
        <v>-17550.150000000001</v>
      </c>
      <c r="DO23" s="59">
        <v>-17550.150000000001</v>
      </c>
      <c r="DP23" s="59">
        <v>-17550.150000000001</v>
      </c>
      <c r="DQ23" s="59">
        <v>-15778.35</v>
      </c>
      <c r="DR23" s="59">
        <v>-15778.35</v>
      </c>
      <c r="DS23" s="59">
        <v>-15778.35</v>
      </c>
      <c r="DT23" s="59">
        <v>-15778.35</v>
      </c>
      <c r="DU23" s="59">
        <v>-15191.85</v>
      </c>
      <c r="DV23" s="60" t="s">
        <v>53</v>
      </c>
      <c r="DW23" s="60" t="s">
        <v>53</v>
      </c>
      <c r="DX23" s="60" t="s">
        <v>53</v>
      </c>
      <c r="DY23" s="60" t="s">
        <v>53</v>
      </c>
    </row>
    <row r="24" spans="1:129" ht="15.75" customHeight="1" x14ac:dyDescent="0.25">
      <c r="V24" s="17"/>
      <c r="AB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W24" s="17"/>
      <c r="AX24" s="17"/>
      <c r="AY24" s="17"/>
      <c r="AZ24" s="17"/>
      <c r="BA24" s="17"/>
      <c r="BB24" s="17"/>
      <c r="BC24" s="17"/>
      <c r="BE24" s="17"/>
      <c r="BF24" s="17"/>
      <c r="BG24" s="17"/>
      <c r="BH24" s="17"/>
      <c r="BI24" s="17"/>
      <c r="BJ24" s="14"/>
      <c r="BK24" s="16"/>
      <c r="BL24" s="1"/>
      <c r="BM24" s="1"/>
    </row>
    <row r="25" spans="1:129" ht="15.75" customHeight="1" x14ac:dyDescent="0.25">
      <c r="BI25" s="17"/>
      <c r="BJ25" s="14"/>
      <c r="BK25" s="16"/>
      <c r="BL25" s="1"/>
      <c r="BM25" s="1"/>
      <c r="DC25" s="48"/>
      <c r="DD25" s="48"/>
    </row>
    <row r="26" spans="1:129" ht="15.75" customHeight="1" x14ac:dyDescent="0.25">
      <c r="D26" s="1" t="s">
        <v>54</v>
      </c>
      <c r="BI26" s="17"/>
      <c r="BJ26" s="14"/>
      <c r="BK26" s="16"/>
      <c r="BL26" s="1"/>
      <c r="BM26" s="1"/>
      <c r="CV26" s="61"/>
      <c r="CW26" s="61"/>
      <c r="CX26" s="61"/>
      <c r="CY26" s="61"/>
      <c r="CZ26" s="61"/>
      <c r="DA26" s="61"/>
      <c r="DB26" s="61"/>
      <c r="DL26" s="48"/>
    </row>
    <row r="27" spans="1:129" ht="15.75" customHeight="1" x14ac:dyDescent="0.25">
      <c r="BI27" s="17"/>
      <c r="BJ27" s="14"/>
      <c r="BK27" s="16"/>
      <c r="BL27" s="1"/>
      <c r="BM27" s="1"/>
    </row>
    <row r="28" spans="1:129" ht="15.75" customHeight="1" x14ac:dyDescent="0.25">
      <c r="BI28" s="17"/>
      <c r="BJ28" s="14"/>
      <c r="BK28" s="16"/>
      <c r="BL28" s="15"/>
      <c r="BM28" s="1"/>
    </row>
    <row r="29" spans="1:129" ht="15.75" customHeight="1" x14ac:dyDescent="0.25">
      <c r="BI29" s="17"/>
      <c r="BJ29" s="14"/>
      <c r="BK29" s="16"/>
      <c r="BL29" s="1"/>
      <c r="BM29" s="1"/>
    </row>
    <row r="30" spans="1:129" ht="15.75" customHeight="1" x14ac:dyDescent="0.25">
      <c r="BI30" s="17"/>
      <c r="BJ30" s="14"/>
      <c r="BK30" s="16"/>
      <c r="BL30" s="1"/>
      <c r="BM30" s="1"/>
      <c r="DL30" s="48"/>
    </row>
    <row r="31" spans="1:129" ht="15.75" customHeight="1" x14ac:dyDescent="0.25">
      <c r="BI31" s="17"/>
      <c r="BJ31" s="14"/>
      <c r="BK31" s="16"/>
      <c r="BL31" s="1"/>
      <c r="BM31" s="1"/>
    </row>
    <row r="32" spans="1:129" ht="15.75" customHeight="1" x14ac:dyDescent="0.25">
      <c r="BI32" s="17"/>
      <c r="BJ32" s="14"/>
      <c r="BK32" s="16"/>
      <c r="BL32" s="1"/>
      <c r="BM32" s="1"/>
    </row>
    <row r="33" spans="61:65" ht="15.75" customHeight="1" x14ac:dyDescent="0.25">
      <c r="BI33" s="17"/>
      <c r="BJ33" s="14"/>
      <c r="BK33" s="16"/>
      <c r="BL33" s="1"/>
      <c r="BM33" s="1"/>
    </row>
    <row r="34" spans="61:65" ht="15.75" customHeight="1" x14ac:dyDescent="0.25">
      <c r="BI34" s="17"/>
      <c r="BJ34" s="14"/>
      <c r="BK34" s="16"/>
      <c r="BL34" s="1"/>
      <c r="BM34" s="1"/>
    </row>
    <row r="35" spans="61:65" ht="15.75" customHeight="1" x14ac:dyDescent="0.25">
      <c r="BI35" s="17"/>
      <c r="BJ35" s="14"/>
      <c r="BK35" s="16"/>
      <c r="BL35" s="1"/>
      <c r="BM35" s="1"/>
    </row>
    <row r="36" spans="61:65" ht="15.75" customHeight="1" x14ac:dyDescent="0.25">
      <c r="BI36" s="17"/>
      <c r="BJ36" s="14"/>
      <c r="BK36" s="16"/>
      <c r="BL36" s="1"/>
      <c r="BM36" s="1"/>
    </row>
    <row r="37" spans="61:65" ht="15.75" customHeight="1" x14ac:dyDescent="0.25">
      <c r="BJ37" s="6"/>
      <c r="BK37" s="7"/>
      <c r="BL37" s="1"/>
      <c r="BM37" s="1"/>
    </row>
    <row r="38" spans="61:65" ht="15.75" customHeight="1" x14ac:dyDescent="0.25">
      <c r="BJ38" s="6"/>
      <c r="BK38" s="7"/>
      <c r="BL38" s="1"/>
      <c r="BM38" s="1"/>
    </row>
    <row r="39" spans="61:65" ht="15.75" customHeight="1" x14ac:dyDescent="0.25">
      <c r="BJ39" s="6"/>
      <c r="BK39" s="7"/>
      <c r="BL39" s="1"/>
      <c r="BM39" s="1"/>
    </row>
    <row r="40" spans="61:65" ht="15.75" customHeight="1" x14ac:dyDescent="0.25">
      <c r="BJ40" s="6"/>
      <c r="BK40" s="7"/>
      <c r="BL40" s="1"/>
      <c r="BM40" s="1"/>
    </row>
    <row r="41" spans="61:65" ht="15.75" customHeight="1" x14ac:dyDescent="0.25">
      <c r="BJ41" s="6"/>
      <c r="BK41" s="7"/>
      <c r="BL41" s="1"/>
      <c r="BM41" s="1"/>
    </row>
    <row r="42" spans="61:65" ht="15.75" customHeight="1" x14ac:dyDescent="0.25">
      <c r="BJ42" s="6"/>
      <c r="BK42" s="7"/>
      <c r="BL42" s="1"/>
      <c r="BM42" s="1"/>
    </row>
    <row r="43" spans="61:65" ht="15.75" customHeight="1" x14ac:dyDescent="0.25">
      <c r="BJ43" s="6"/>
      <c r="BK43" s="7"/>
      <c r="BL43" s="1"/>
      <c r="BM43" s="1"/>
    </row>
    <row r="44" spans="61:65" ht="15.75" customHeight="1" x14ac:dyDescent="0.25">
      <c r="BJ44" s="6"/>
      <c r="BK44" s="7"/>
      <c r="BL44" s="1"/>
      <c r="BM44" s="1"/>
    </row>
    <row r="45" spans="61:65" ht="15.75" customHeight="1" x14ac:dyDescent="0.25">
      <c r="BJ45" s="6"/>
      <c r="BK45" s="7"/>
      <c r="BL45" s="1"/>
      <c r="BM45" s="1"/>
    </row>
    <row r="46" spans="61:65" ht="15.75" customHeight="1" x14ac:dyDescent="0.25">
      <c r="BJ46" s="6"/>
      <c r="BK46" s="7"/>
      <c r="BL46" s="1"/>
      <c r="BM46" s="1"/>
    </row>
    <row r="47" spans="61:65" ht="15.75" customHeight="1" x14ac:dyDescent="0.25">
      <c r="BJ47" s="6"/>
      <c r="BK47" s="7"/>
      <c r="BL47" s="1"/>
      <c r="BM47" s="1"/>
    </row>
    <row r="48" spans="61:65" ht="15.75" customHeight="1" x14ac:dyDescent="0.25">
      <c r="BJ48" s="6"/>
      <c r="BK48" s="7"/>
      <c r="BL48" s="1"/>
      <c r="BM48" s="1"/>
    </row>
    <row r="49" spans="62:65" ht="15.75" customHeight="1" x14ac:dyDescent="0.25">
      <c r="BJ49" s="6"/>
      <c r="BK49" s="7"/>
      <c r="BL49" s="1"/>
      <c r="BM49" s="1"/>
    </row>
    <row r="50" spans="62:65" ht="15.75" customHeight="1" x14ac:dyDescent="0.25">
      <c r="BJ50" s="6"/>
      <c r="BK50" s="7"/>
      <c r="BL50" s="1"/>
      <c r="BM50" s="1"/>
    </row>
    <row r="51" spans="62:65" ht="15.75" customHeight="1" x14ac:dyDescent="0.25">
      <c r="BJ51" s="6"/>
      <c r="BK51" s="7"/>
      <c r="BL51" s="1"/>
      <c r="BM51" s="1"/>
    </row>
    <row r="52" spans="62:65" ht="15.75" customHeight="1" x14ac:dyDescent="0.25">
      <c r="BJ52" s="6"/>
      <c r="BK52" s="7"/>
      <c r="BL52" s="1"/>
      <c r="BM52" s="1"/>
    </row>
    <row r="53" spans="62:65" ht="15.75" customHeight="1" x14ac:dyDescent="0.25">
      <c r="BJ53" s="6"/>
      <c r="BK53" s="7"/>
      <c r="BL53" s="1"/>
      <c r="BM53" s="1"/>
    </row>
    <row r="54" spans="62:65" ht="15.75" customHeight="1" x14ac:dyDescent="0.25">
      <c r="BJ54" s="6"/>
      <c r="BK54" s="7"/>
      <c r="BL54" s="1"/>
      <c r="BM54" s="1"/>
    </row>
    <row r="55" spans="62:65" ht="15.75" customHeight="1" x14ac:dyDescent="0.25">
      <c r="BJ55" s="6"/>
      <c r="BK55" s="7"/>
      <c r="BL55" s="1"/>
      <c r="BM55" s="1"/>
    </row>
    <row r="56" spans="62:65" ht="15.75" customHeight="1" x14ac:dyDescent="0.25">
      <c r="BJ56" s="6"/>
      <c r="BK56" s="7"/>
      <c r="BL56" s="1"/>
      <c r="BM56" s="1"/>
    </row>
    <row r="57" spans="62:65" ht="15.75" customHeight="1" x14ac:dyDescent="0.25">
      <c r="BJ57" s="6"/>
      <c r="BK57" s="7"/>
      <c r="BL57" s="1"/>
      <c r="BM57" s="1"/>
    </row>
    <row r="58" spans="62:65" ht="15.75" customHeight="1" x14ac:dyDescent="0.25">
      <c r="BJ58" s="6"/>
      <c r="BK58" s="7"/>
      <c r="BL58" s="1"/>
      <c r="BM58" s="1"/>
    </row>
    <row r="59" spans="62:65" ht="15.75" customHeight="1" x14ac:dyDescent="0.25">
      <c r="BJ59" s="6"/>
      <c r="BK59" s="7"/>
      <c r="BL59" s="1"/>
      <c r="BM59" s="1"/>
    </row>
    <row r="60" spans="62:65" ht="15.75" customHeight="1" x14ac:dyDescent="0.25">
      <c r="BJ60" s="6"/>
      <c r="BK60" s="7"/>
      <c r="BL60" s="1"/>
      <c r="BM60" s="1"/>
    </row>
    <row r="61" spans="62:65" ht="15.75" customHeight="1" x14ac:dyDescent="0.25">
      <c r="BJ61" s="6"/>
      <c r="BK61" s="7"/>
      <c r="BL61" s="1"/>
      <c r="BM61" s="1"/>
    </row>
    <row r="62" spans="62:65" ht="15.75" customHeight="1" x14ac:dyDescent="0.25">
      <c r="BJ62" s="6"/>
      <c r="BK62" s="7"/>
      <c r="BL62" s="1"/>
      <c r="BM62" s="1"/>
    </row>
    <row r="63" spans="62:65" ht="15.75" customHeight="1" x14ac:dyDescent="0.25">
      <c r="BJ63" s="6"/>
      <c r="BK63" s="7"/>
      <c r="BL63" s="1"/>
      <c r="BM63" s="1"/>
    </row>
    <row r="64" spans="62:65" ht="15.75" customHeight="1" x14ac:dyDescent="0.25">
      <c r="BJ64" s="6"/>
      <c r="BK64" s="7"/>
      <c r="BL64" s="1"/>
      <c r="BM64" s="1"/>
    </row>
    <row r="65" spans="62:65" ht="15.75" customHeight="1" x14ac:dyDescent="0.25">
      <c r="BJ65" s="6"/>
      <c r="BK65" s="7"/>
      <c r="BL65" s="1"/>
      <c r="BM65" s="1"/>
    </row>
    <row r="66" spans="62:65" ht="15.75" customHeight="1" x14ac:dyDescent="0.25">
      <c r="BJ66" s="6"/>
      <c r="BK66" s="7"/>
      <c r="BL66" s="1"/>
      <c r="BM66" s="1"/>
    </row>
    <row r="67" spans="62:65" ht="15.75" customHeight="1" x14ac:dyDescent="0.25">
      <c r="BJ67" s="6"/>
      <c r="BK67" s="7"/>
      <c r="BL67" s="1"/>
      <c r="BM67" s="1"/>
    </row>
    <row r="68" spans="62:65" ht="15.75" customHeight="1" x14ac:dyDescent="0.25">
      <c r="BJ68" s="6"/>
      <c r="BK68" s="7"/>
      <c r="BL68" s="1"/>
      <c r="BM68" s="1"/>
    </row>
    <row r="69" spans="62:65" ht="15.75" customHeight="1" x14ac:dyDescent="0.25">
      <c r="BJ69" s="6"/>
      <c r="BK69" s="7"/>
      <c r="BL69" s="1"/>
      <c r="BM69" s="1"/>
    </row>
    <row r="70" spans="62:65" ht="15.75" customHeight="1" x14ac:dyDescent="0.25">
      <c r="BJ70" s="6"/>
      <c r="BK70" s="7"/>
      <c r="BL70" s="1"/>
      <c r="BM70" s="1"/>
    </row>
    <row r="71" spans="62:65" ht="15.75" customHeight="1" x14ac:dyDescent="0.25">
      <c r="BJ71" s="6"/>
      <c r="BK71" s="7"/>
      <c r="BL71" s="1"/>
      <c r="BM71" s="1"/>
    </row>
    <row r="72" spans="62:65" ht="15.75" customHeight="1" x14ac:dyDescent="0.25">
      <c r="BJ72" s="6"/>
      <c r="BK72" s="7"/>
      <c r="BL72" s="1"/>
      <c r="BM72" s="1"/>
    </row>
    <row r="73" spans="62:65" ht="15.75" customHeight="1" x14ac:dyDescent="0.25">
      <c r="BJ73" s="6"/>
      <c r="BK73" s="7"/>
      <c r="BL73" s="1"/>
      <c r="BM73" s="1"/>
    </row>
    <row r="74" spans="62:65" ht="15.75" customHeight="1" x14ac:dyDescent="0.25">
      <c r="BJ74" s="6"/>
      <c r="BK74" s="7"/>
      <c r="BL74" s="1"/>
      <c r="BM74" s="1"/>
    </row>
    <row r="75" spans="62:65" ht="15.75" customHeight="1" x14ac:dyDescent="0.25">
      <c r="BJ75" s="6"/>
      <c r="BK75" s="7"/>
      <c r="BL75" s="1"/>
      <c r="BM75" s="1"/>
    </row>
    <row r="76" spans="62:65" ht="15.75" customHeight="1" x14ac:dyDescent="0.25">
      <c r="BJ76" s="6"/>
      <c r="BK76" s="7"/>
      <c r="BL76" s="1"/>
      <c r="BM76" s="1"/>
    </row>
    <row r="77" spans="62:65" ht="15.75" customHeight="1" x14ac:dyDescent="0.25">
      <c r="BJ77" s="6"/>
      <c r="BK77" s="7"/>
      <c r="BL77" s="1"/>
      <c r="BM77" s="1"/>
    </row>
    <row r="78" spans="62:65" ht="15.75" customHeight="1" x14ac:dyDescent="0.25">
      <c r="BJ78" s="6"/>
      <c r="BK78" s="7"/>
      <c r="BL78" s="1"/>
      <c r="BM78" s="1"/>
    </row>
    <row r="79" spans="62:65" ht="15.75" customHeight="1" x14ac:dyDescent="0.25">
      <c r="BJ79" s="6"/>
      <c r="BK79" s="7"/>
      <c r="BL79" s="1"/>
      <c r="BM79" s="1"/>
    </row>
    <row r="80" spans="62:65" ht="15.75" customHeight="1" x14ac:dyDescent="0.25">
      <c r="BJ80" s="6"/>
      <c r="BK80" s="7"/>
      <c r="BL80" s="1"/>
      <c r="BM80" s="1"/>
    </row>
    <row r="81" spans="62:65" ht="15.75" customHeight="1" x14ac:dyDescent="0.25">
      <c r="BJ81" s="6"/>
      <c r="BK81" s="7"/>
      <c r="BL81" s="1"/>
      <c r="BM81" s="1"/>
    </row>
    <row r="82" spans="62:65" ht="15.75" customHeight="1" x14ac:dyDescent="0.25">
      <c r="BJ82" s="6"/>
      <c r="BK82" s="7"/>
      <c r="BL82" s="1"/>
      <c r="BM82" s="1"/>
    </row>
    <row r="83" spans="62:65" ht="15.75" customHeight="1" x14ac:dyDescent="0.25">
      <c r="BJ83" s="6"/>
      <c r="BK83" s="7"/>
      <c r="BL83" s="1"/>
      <c r="BM83" s="1"/>
    </row>
    <row r="84" spans="62:65" ht="15.75" customHeight="1" x14ac:dyDescent="0.25">
      <c r="BJ84" s="6"/>
      <c r="BK84" s="7"/>
      <c r="BL84" s="1"/>
      <c r="BM84" s="1"/>
    </row>
    <row r="85" spans="62:65" ht="15.75" customHeight="1" x14ac:dyDescent="0.25">
      <c r="BJ85" s="6"/>
      <c r="BK85" s="7"/>
      <c r="BL85" s="1"/>
      <c r="BM85" s="1"/>
    </row>
    <row r="86" spans="62:65" ht="15.75" customHeight="1" x14ac:dyDescent="0.25">
      <c r="BJ86" s="6"/>
      <c r="BK86" s="7"/>
      <c r="BL86" s="1"/>
      <c r="BM86" s="1"/>
    </row>
    <row r="87" spans="62:65" ht="15.75" customHeight="1" x14ac:dyDescent="0.25">
      <c r="BJ87" s="6"/>
      <c r="BK87" s="7"/>
      <c r="BL87" s="1"/>
      <c r="BM87" s="1"/>
    </row>
    <row r="88" spans="62:65" ht="15.75" customHeight="1" x14ac:dyDescent="0.25">
      <c r="BJ88" s="6"/>
      <c r="BK88" s="7"/>
      <c r="BL88" s="1"/>
      <c r="BM88" s="1"/>
    </row>
    <row r="89" spans="62:65" ht="15.75" customHeight="1" x14ac:dyDescent="0.25">
      <c r="BJ89" s="6"/>
      <c r="BK89" s="7"/>
      <c r="BL89" s="1"/>
      <c r="BM89" s="1"/>
    </row>
    <row r="90" spans="62:65" ht="15.75" customHeight="1" x14ac:dyDescent="0.25">
      <c r="BJ90" s="6"/>
      <c r="BK90" s="7"/>
      <c r="BL90" s="1"/>
      <c r="BM90" s="1"/>
    </row>
    <row r="91" spans="62:65" ht="15.75" customHeight="1" x14ac:dyDescent="0.25">
      <c r="BJ91" s="6"/>
      <c r="BK91" s="7"/>
      <c r="BL91" s="1"/>
      <c r="BM91" s="1"/>
    </row>
    <row r="92" spans="62:65" ht="15.75" customHeight="1" x14ac:dyDescent="0.25">
      <c r="BJ92" s="6"/>
      <c r="BK92" s="7"/>
      <c r="BL92" s="1"/>
      <c r="BM92" s="1"/>
    </row>
    <row r="93" spans="62:65" ht="15.75" customHeight="1" x14ac:dyDescent="0.25">
      <c r="BJ93" s="6"/>
      <c r="BK93" s="7"/>
      <c r="BL93" s="1"/>
      <c r="BM93" s="1"/>
    </row>
    <row r="94" spans="62:65" ht="15.75" customHeight="1" x14ac:dyDescent="0.25">
      <c r="BJ94" s="6"/>
      <c r="BK94" s="7"/>
      <c r="BL94" s="1"/>
      <c r="BM94" s="1"/>
    </row>
    <row r="95" spans="62:65" ht="15.75" customHeight="1" x14ac:dyDescent="0.25">
      <c r="BJ95" s="6"/>
      <c r="BK95" s="7"/>
      <c r="BL95" s="1"/>
      <c r="BM95" s="1"/>
    </row>
    <row r="96" spans="62:65" ht="15.75" customHeight="1" x14ac:dyDescent="0.25">
      <c r="BJ96" s="6"/>
      <c r="BK96" s="7"/>
      <c r="BL96" s="1"/>
      <c r="BM96" s="1"/>
    </row>
    <row r="97" spans="62:65" ht="15.75" customHeight="1" x14ac:dyDescent="0.25">
      <c r="BJ97" s="6"/>
      <c r="BK97" s="7"/>
      <c r="BL97" s="1"/>
      <c r="BM97" s="1"/>
    </row>
    <row r="98" spans="62:65" ht="15.75" customHeight="1" x14ac:dyDescent="0.25">
      <c r="BJ98" s="6"/>
      <c r="BK98" s="7"/>
      <c r="BL98" s="1"/>
      <c r="BM98" s="1"/>
    </row>
    <row r="99" spans="62:65" ht="15.75" customHeight="1" x14ac:dyDescent="0.25">
      <c r="BJ99" s="6"/>
      <c r="BK99" s="7"/>
      <c r="BL99" s="1"/>
      <c r="BM99" s="1"/>
    </row>
    <row r="100" spans="62:65" ht="15.75" customHeight="1" x14ac:dyDescent="0.25">
      <c r="BJ100" s="6"/>
      <c r="BK100" s="7"/>
      <c r="BL100" s="1"/>
      <c r="BM100" s="1"/>
    </row>
    <row r="101" spans="62:65" ht="15.75" customHeight="1" x14ac:dyDescent="0.25">
      <c r="BJ101" s="6"/>
      <c r="BK101" s="7"/>
      <c r="BL101" s="1"/>
      <c r="BM101" s="1"/>
    </row>
    <row r="102" spans="62:65" ht="15.75" customHeight="1" x14ac:dyDescent="0.25">
      <c r="BJ102" s="6"/>
      <c r="BK102" s="7"/>
      <c r="BL102" s="1"/>
      <c r="BM102" s="1"/>
    </row>
    <row r="103" spans="62:65" ht="15.75" customHeight="1" x14ac:dyDescent="0.25">
      <c r="BJ103" s="6"/>
      <c r="BK103" s="7"/>
      <c r="BL103" s="1"/>
      <c r="BM103" s="1"/>
    </row>
    <row r="104" spans="62:65" ht="15.75" customHeight="1" x14ac:dyDescent="0.25">
      <c r="BJ104" s="6"/>
      <c r="BK104" s="7"/>
      <c r="BL104" s="1"/>
      <c r="BM104" s="1"/>
    </row>
    <row r="105" spans="62:65" ht="15.75" customHeight="1" x14ac:dyDescent="0.25">
      <c r="BJ105" s="6"/>
      <c r="BK105" s="7"/>
      <c r="BL105" s="1"/>
      <c r="BM105" s="1"/>
    </row>
    <row r="106" spans="62:65" ht="15.75" customHeight="1" x14ac:dyDescent="0.25">
      <c r="BJ106" s="6"/>
      <c r="BK106" s="7"/>
      <c r="BL106" s="1"/>
      <c r="BM106" s="1"/>
    </row>
    <row r="107" spans="62:65" ht="15.75" customHeight="1" x14ac:dyDescent="0.25">
      <c r="BJ107" s="6"/>
      <c r="BK107" s="7"/>
      <c r="BL107" s="1"/>
      <c r="BM107" s="1"/>
    </row>
    <row r="108" spans="62:65" ht="15.75" customHeight="1" x14ac:dyDescent="0.25">
      <c r="BJ108" s="6"/>
      <c r="BK108" s="7"/>
      <c r="BL108" s="1"/>
      <c r="BM108" s="1"/>
    </row>
    <row r="109" spans="62:65" ht="15.75" customHeight="1" x14ac:dyDescent="0.25">
      <c r="BJ109" s="6"/>
      <c r="BK109" s="7"/>
      <c r="BL109" s="1"/>
      <c r="BM109" s="1"/>
    </row>
    <row r="110" spans="62:65" ht="15.75" customHeight="1" x14ac:dyDescent="0.25">
      <c r="BJ110" s="6"/>
      <c r="BK110" s="7"/>
      <c r="BL110" s="1"/>
      <c r="BM110" s="1"/>
    </row>
    <row r="111" spans="62:65" ht="15.75" customHeight="1" x14ac:dyDescent="0.25">
      <c r="BJ111" s="6"/>
      <c r="BK111" s="7"/>
      <c r="BL111" s="1"/>
      <c r="BM111" s="1"/>
    </row>
    <row r="112" spans="62:65" ht="15.75" customHeight="1" x14ac:dyDescent="0.25">
      <c r="BJ112" s="6"/>
      <c r="BK112" s="7"/>
      <c r="BL112" s="1"/>
      <c r="BM112" s="1"/>
    </row>
    <row r="113" spans="62:65" ht="15.75" customHeight="1" x14ac:dyDescent="0.25">
      <c r="BJ113" s="6"/>
      <c r="BK113" s="7"/>
      <c r="BL113" s="1"/>
      <c r="BM113" s="1"/>
    </row>
    <row r="114" spans="62:65" ht="15.75" customHeight="1" x14ac:dyDescent="0.25">
      <c r="BJ114" s="6"/>
      <c r="BK114" s="7"/>
      <c r="BL114" s="1"/>
      <c r="BM114" s="1"/>
    </row>
    <row r="115" spans="62:65" ht="15.75" customHeight="1" x14ac:dyDescent="0.25">
      <c r="BJ115" s="6"/>
      <c r="BK115" s="7"/>
      <c r="BL115" s="1"/>
      <c r="BM115" s="1"/>
    </row>
    <row r="116" spans="62:65" ht="15.75" customHeight="1" x14ac:dyDescent="0.25">
      <c r="BJ116" s="6"/>
      <c r="BK116" s="7"/>
      <c r="BL116" s="1"/>
      <c r="BM116" s="1"/>
    </row>
    <row r="117" spans="62:65" ht="15.75" customHeight="1" x14ac:dyDescent="0.25">
      <c r="BJ117" s="6"/>
      <c r="BK117" s="7"/>
      <c r="BL117" s="1"/>
      <c r="BM117" s="1"/>
    </row>
    <row r="118" spans="62:65" ht="15.75" customHeight="1" x14ac:dyDescent="0.25">
      <c r="BJ118" s="6"/>
      <c r="BK118" s="7"/>
      <c r="BL118" s="1"/>
      <c r="BM118" s="1"/>
    </row>
    <row r="119" spans="62:65" ht="15.75" customHeight="1" x14ac:dyDescent="0.25">
      <c r="BJ119" s="6"/>
      <c r="BK119" s="7"/>
      <c r="BL119" s="1"/>
      <c r="BM119" s="1"/>
    </row>
    <row r="120" spans="62:65" ht="15.75" customHeight="1" x14ac:dyDescent="0.25">
      <c r="BJ120" s="6"/>
      <c r="BK120" s="7"/>
      <c r="BL120" s="1"/>
      <c r="BM120" s="1"/>
    </row>
    <row r="121" spans="62:65" ht="15.75" customHeight="1" x14ac:dyDescent="0.25">
      <c r="BJ121" s="6"/>
      <c r="BK121" s="7"/>
      <c r="BL121" s="1"/>
      <c r="BM121" s="1"/>
    </row>
    <row r="122" spans="62:65" ht="15.75" customHeight="1" x14ac:dyDescent="0.25">
      <c r="BJ122" s="6"/>
      <c r="BK122" s="7"/>
      <c r="BL122" s="1"/>
      <c r="BM122" s="1"/>
    </row>
    <row r="123" spans="62:65" ht="15.75" customHeight="1" x14ac:dyDescent="0.25">
      <c r="BJ123" s="6"/>
      <c r="BK123" s="7"/>
      <c r="BL123" s="1"/>
      <c r="BM123" s="1"/>
    </row>
    <row r="124" spans="62:65" ht="15.75" customHeight="1" x14ac:dyDescent="0.25">
      <c r="BJ124" s="6"/>
      <c r="BK124" s="7"/>
      <c r="BL124" s="1"/>
      <c r="BM124" s="1"/>
    </row>
    <row r="125" spans="62:65" ht="15.75" customHeight="1" x14ac:dyDescent="0.25">
      <c r="BJ125" s="6"/>
      <c r="BK125" s="7"/>
      <c r="BL125" s="1"/>
      <c r="BM125" s="1"/>
    </row>
    <row r="126" spans="62:65" ht="15.75" customHeight="1" x14ac:dyDescent="0.25">
      <c r="BJ126" s="6"/>
      <c r="BK126" s="7"/>
      <c r="BL126" s="1"/>
      <c r="BM126" s="1"/>
    </row>
    <row r="127" spans="62:65" ht="15.75" customHeight="1" x14ac:dyDescent="0.25">
      <c r="BJ127" s="6"/>
      <c r="BK127" s="7"/>
      <c r="BL127" s="1"/>
      <c r="BM127" s="1"/>
    </row>
    <row r="128" spans="62:65" ht="15.75" customHeight="1" x14ac:dyDescent="0.25">
      <c r="BJ128" s="6"/>
      <c r="BK128" s="7"/>
      <c r="BL128" s="1"/>
      <c r="BM128" s="1"/>
    </row>
    <row r="129" spans="62:65" ht="15.75" customHeight="1" x14ac:dyDescent="0.25">
      <c r="BJ129" s="6"/>
      <c r="BK129" s="7"/>
      <c r="BL129" s="1"/>
      <c r="BM129" s="1"/>
    </row>
    <row r="130" spans="62:65" ht="15.75" customHeight="1" x14ac:dyDescent="0.25">
      <c r="BJ130" s="6"/>
      <c r="BK130" s="7"/>
      <c r="BL130" s="1"/>
      <c r="BM130" s="1"/>
    </row>
    <row r="131" spans="62:65" ht="15.75" customHeight="1" x14ac:dyDescent="0.25">
      <c r="BJ131" s="6"/>
      <c r="BK131" s="7"/>
      <c r="BL131" s="1"/>
      <c r="BM131" s="1"/>
    </row>
    <row r="132" spans="62:65" ht="15.75" customHeight="1" x14ac:dyDescent="0.25">
      <c r="BJ132" s="6"/>
      <c r="BK132" s="7"/>
      <c r="BL132" s="1"/>
      <c r="BM132" s="1"/>
    </row>
    <row r="133" spans="62:65" ht="15.75" customHeight="1" x14ac:dyDescent="0.25">
      <c r="BJ133" s="6"/>
      <c r="BK133" s="7"/>
      <c r="BL133" s="1"/>
      <c r="BM133" s="1"/>
    </row>
    <row r="134" spans="62:65" ht="15.75" customHeight="1" x14ac:dyDescent="0.25">
      <c r="BJ134" s="6"/>
      <c r="BK134" s="7"/>
      <c r="BL134" s="1"/>
      <c r="BM134" s="1"/>
    </row>
    <row r="135" spans="62:65" ht="15.75" customHeight="1" x14ac:dyDescent="0.25">
      <c r="BJ135" s="6"/>
      <c r="BK135" s="7"/>
      <c r="BL135" s="1"/>
      <c r="BM135" s="1"/>
    </row>
    <row r="136" spans="62:65" ht="15.75" customHeight="1" x14ac:dyDescent="0.25">
      <c r="BJ136" s="6"/>
      <c r="BK136" s="7"/>
      <c r="BL136" s="1"/>
      <c r="BM136" s="1"/>
    </row>
    <row r="137" spans="62:65" ht="15.75" customHeight="1" x14ac:dyDescent="0.25">
      <c r="BJ137" s="6"/>
      <c r="BK137" s="7"/>
      <c r="BL137" s="1"/>
      <c r="BM137" s="1"/>
    </row>
    <row r="138" spans="62:65" ht="15.75" customHeight="1" x14ac:dyDescent="0.25">
      <c r="BJ138" s="6"/>
      <c r="BK138" s="7"/>
      <c r="BL138" s="1"/>
      <c r="BM138" s="1"/>
    </row>
    <row r="139" spans="62:65" ht="15.75" customHeight="1" x14ac:dyDescent="0.25">
      <c r="BJ139" s="6"/>
      <c r="BK139" s="7"/>
      <c r="BL139" s="1"/>
      <c r="BM139" s="1"/>
    </row>
    <row r="140" spans="62:65" ht="15.75" customHeight="1" x14ac:dyDescent="0.25">
      <c r="BJ140" s="6"/>
      <c r="BK140" s="7"/>
      <c r="BL140" s="1"/>
      <c r="BM140" s="1"/>
    </row>
    <row r="141" spans="62:65" ht="15.75" customHeight="1" x14ac:dyDescent="0.25">
      <c r="BJ141" s="6"/>
      <c r="BK141" s="7"/>
      <c r="BL141" s="1"/>
      <c r="BM141" s="1"/>
    </row>
    <row r="142" spans="62:65" ht="15.75" customHeight="1" x14ac:dyDescent="0.25">
      <c r="BJ142" s="6"/>
      <c r="BK142" s="7"/>
      <c r="BL142" s="1"/>
      <c r="BM142" s="1"/>
    </row>
    <row r="143" spans="62:65" ht="15.75" customHeight="1" x14ac:dyDescent="0.25">
      <c r="BJ143" s="6"/>
      <c r="BK143" s="7"/>
      <c r="BL143" s="1"/>
      <c r="BM143" s="1"/>
    </row>
    <row r="144" spans="62:65" ht="15.75" customHeight="1" x14ac:dyDescent="0.25">
      <c r="BJ144" s="6"/>
      <c r="BK144" s="7"/>
      <c r="BL144" s="1"/>
      <c r="BM144" s="1"/>
    </row>
    <row r="145" spans="62:65" ht="15.75" customHeight="1" x14ac:dyDescent="0.25">
      <c r="BJ145" s="6"/>
      <c r="BK145" s="7"/>
      <c r="BL145" s="1"/>
      <c r="BM145" s="1"/>
    </row>
    <row r="146" spans="62:65" ht="15.75" customHeight="1" x14ac:dyDescent="0.25">
      <c r="BJ146" s="6"/>
      <c r="BK146" s="7"/>
      <c r="BL146" s="1"/>
      <c r="BM146" s="1"/>
    </row>
    <row r="147" spans="62:65" ht="15.75" customHeight="1" x14ac:dyDescent="0.25">
      <c r="BJ147" s="6"/>
      <c r="BK147" s="7"/>
      <c r="BL147" s="1"/>
      <c r="BM147" s="1"/>
    </row>
    <row r="148" spans="62:65" ht="15.75" customHeight="1" x14ac:dyDescent="0.25">
      <c r="BJ148" s="6"/>
      <c r="BK148" s="7"/>
      <c r="BL148" s="1"/>
      <c r="BM148" s="1"/>
    </row>
    <row r="149" spans="62:65" ht="15.75" customHeight="1" x14ac:dyDescent="0.25">
      <c r="BJ149" s="6"/>
      <c r="BK149" s="7"/>
      <c r="BL149" s="1"/>
      <c r="BM149" s="1"/>
    </row>
    <row r="150" spans="62:65" ht="15.75" customHeight="1" x14ac:dyDescent="0.25">
      <c r="BJ150" s="6"/>
      <c r="BK150" s="7"/>
      <c r="BL150" s="1"/>
      <c r="BM150" s="1"/>
    </row>
    <row r="151" spans="62:65" ht="15.75" customHeight="1" x14ac:dyDescent="0.25">
      <c r="BJ151" s="6"/>
      <c r="BK151" s="7"/>
      <c r="BL151" s="1"/>
      <c r="BM151" s="1"/>
    </row>
    <row r="152" spans="62:65" ht="15.75" customHeight="1" x14ac:dyDescent="0.25">
      <c r="BJ152" s="6"/>
      <c r="BK152" s="7"/>
      <c r="BL152" s="1"/>
      <c r="BM152" s="1"/>
    </row>
    <row r="153" spans="62:65" ht="15.75" customHeight="1" x14ac:dyDescent="0.25">
      <c r="BJ153" s="6"/>
      <c r="BK153" s="7"/>
      <c r="BL153" s="1"/>
      <c r="BM153" s="1"/>
    </row>
    <row r="154" spans="62:65" ht="15.75" customHeight="1" x14ac:dyDescent="0.25">
      <c r="BJ154" s="6"/>
      <c r="BK154" s="7"/>
      <c r="BL154" s="1"/>
      <c r="BM154" s="1"/>
    </row>
    <row r="155" spans="62:65" ht="15.75" customHeight="1" x14ac:dyDescent="0.25">
      <c r="BJ155" s="6"/>
      <c r="BK155" s="7"/>
      <c r="BL155" s="1"/>
      <c r="BM155" s="1"/>
    </row>
    <row r="156" spans="62:65" ht="15.75" customHeight="1" x14ac:dyDescent="0.25">
      <c r="BJ156" s="6"/>
      <c r="BK156" s="7"/>
      <c r="BL156" s="1"/>
      <c r="BM156" s="1"/>
    </row>
    <row r="157" spans="62:65" ht="15.75" customHeight="1" x14ac:dyDescent="0.25">
      <c r="BJ157" s="6"/>
      <c r="BK157" s="7"/>
      <c r="BL157" s="1"/>
      <c r="BM157" s="1"/>
    </row>
    <row r="158" spans="62:65" ht="15.75" customHeight="1" x14ac:dyDescent="0.25">
      <c r="BJ158" s="6"/>
      <c r="BK158" s="7"/>
      <c r="BL158" s="1"/>
      <c r="BM158" s="1"/>
    </row>
    <row r="159" spans="62:65" ht="15.75" customHeight="1" x14ac:dyDescent="0.25">
      <c r="BJ159" s="6"/>
      <c r="BK159" s="7"/>
      <c r="BL159" s="1"/>
      <c r="BM159" s="1"/>
    </row>
    <row r="160" spans="62:65" ht="15.75" customHeight="1" x14ac:dyDescent="0.25">
      <c r="BJ160" s="6"/>
      <c r="BK160" s="7"/>
      <c r="BL160" s="1"/>
      <c r="BM160" s="1"/>
    </row>
    <row r="161" spans="62:65" ht="15.75" customHeight="1" x14ac:dyDescent="0.25">
      <c r="BJ161" s="6"/>
      <c r="BK161" s="7"/>
      <c r="BL161" s="1"/>
      <c r="BM161" s="1"/>
    </row>
    <row r="162" spans="62:65" ht="15.75" customHeight="1" x14ac:dyDescent="0.25">
      <c r="BJ162" s="6"/>
      <c r="BK162" s="7"/>
      <c r="BL162" s="1"/>
      <c r="BM162" s="1"/>
    </row>
    <row r="163" spans="62:65" ht="15.75" customHeight="1" x14ac:dyDescent="0.25">
      <c r="BJ163" s="6"/>
      <c r="BK163" s="7"/>
      <c r="BL163" s="1"/>
      <c r="BM163" s="1"/>
    </row>
    <row r="164" spans="62:65" ht="15.75" customHeight="1" x14ac:dyDescent="0.25">
      <c r="BJ164" s="6"/>
      <c r="BK164" s="7"/>
      <c r="BL164" s="1"/>
      <c r="BM164" s="1"/>
    </row>
    <row r="165" spans="62:65" ht="15.75" customHeight="1" x14ac:dyDescent="0.25">
      <c r="BJ165" s="6"/>
      <c r="BK165" s="7"/>
      <c r="BL165" s="1"/>
      <c r="BM165" s="1"/>
    </row>
    <row r="166" spans="62:65" ht="15.75" customHeight="1" x14ac:dyDescent="0.25">
      <c r="BJ166" s="6"/>
      <c r="BK166" s="7"/>
      <c r="BL166" s="1"/>
      <c r="BM166" s="1"/>
    </row>
    <row r="167" spans="62:65" ht="15.75" customHeight="1" x14ac:dyDescent="0.25">
      <c r="BJ167" s="6"/>
      <c r="BK167" s="7"/>
      <c r="BL167" s="1"/>
      <c r="BM167" s="1"/>
    </row>
    <row r="168" spans="62:65" ht="15.75" customHeight="1" x14ac:dyDescent="0.25">
      <c r="BJ168" s="6"/>
      <c r="BK168" s="7"/>
      <c r="BL168" s="1"/>
      <c r="BM168" s="1"/>
    </row>
    <row r="169" spans="62:65" ht="15.75" customHeight="1" x14ac:dyDescent="0.25">
      <c r="BJ169" s="6"/>
      <c r="BK169" s="7"/>
      <c r="BL169" s="1"/>
      <c r="BM169" s="1"/>
    </row>
    <row r="170" spans="62:65" ht="15.75" customHeight="1" x14ac:dyDescent="0.25">
      <c r="BJ170" s="6"/>
      <c r="BK170" s="7"/>
      <c r="BL170" s="1"/>
      <c r="BM170" s="1"/>
    </row>
    <row r="171" spans="62:65" ht="15.75" customHeight="1" x14ac:dyDescent="0.25">
      <c r="BJ171" s="6"/>
      <c r="BK171" s="7"/>
      <c r="BL171" s="1"/>
      <c r="BM171" s="1"/>
    </row>
    <row r="172" spans="62:65" ht="15.75" customHeight="1" x14ac:dyDescent="0.25">
      <c r="BJ172" s="6"/>
      <c r="BK172" s="7"/>
      <c r="BL172" s="1"/>
      <c r="BM172" s="1"/>
    </row>
    <row r="173" spans="62:65" ht="15.75" customHeight="1" x14ac:dyDescent="0.25">
      <c r="BJ173" s="6"/>
      <c r="BK173" s="7"/>
      <c r="BL173" s="1"/>
      <c r="BM173" s="1"/>
    </row>
    <row r="174" spans="62:65" ht="15.75" customHeight="1" x14ac:dyDescent="0.25">
      <c r="BJ174" s="6"/>
      <c r="BK174" s="7"/>
      <c r="BL174" s="1"/>
      <c r="BM174" s="1"/>
    </row>
    <row r="175" spans="62:65" ht="15.75" customHeight="1" x14ac:dyDescent="0.25">
      <c r="BJ175" s="6"/>
      <c r="BK175" s="7"/>
      <c r="BL175" s="1"/>
      <c r="BM175" s="1"/>
    </row>
    <row r="176" spans="62:65" ht="15.75" customHeight="1" x14ac:dyDescent="0.25">
      <c r="BJ176" s="6"/>
      <c r="BK176" s="7"/>
      <c r="BL176" s="1"/>
      <c r="BM176" s="1"/>
    </row>
    <row r="177" spans="62:65" ht="15.75" customHeight="1" x14ac:dyDescent="0.25">
      <c r="BJ177" s="6"/>
      <c r="BK177" s="7"/>
      <c r="BL177" s="1"/>
      <c r="BM177" s="1"/>
    </row>
    <row r="178" spans="62:65" ht="15.75" customHeight="1" x14ac:dyDescent="0.25">
      <c r="BJ178" s="6"/>
      <c r="BK178" s="7"/>
      <c r="BL178" s="1"/>
      <c r="BM178" s="1"/>
    </row>
    <row r="179" spans="62:65" ht="15.75" customHeight="1" x14ac:dyDescent="0.25">
      <c r="BJ179" s="6"/>
      <c r="BK179" s="7"/>
      <c r="BL179" s="1"/>
      <c r="BM179" s="1"/>
    </row>
    <row r="180" spans="62:65" ht="15.75" customHeight="1" x14ac:dyDescent="0.25">
      <c r="BJ180" s="6"/>
      <c r="BK180" s="7"/>
      <c r="BL180" s="1"/>
      <c r="BM180" s="1"/>
    </row>
    <row r="181" spans="62:65" ht="15.75" customHeight="1" x14ac:dyDescent="0.25">
      <c r="BJ181" s="6"/>
      <c r="BK181" s="7"/>
      <c r="BL181" s="1"/>
      <c r="BM181" s="1"/>
    </row>
    <row r="182" spans="62:65" ht="15.75" customHeight="1" x14ac:dyDescent="0.25">
      <c r="BJ182" s="6"/>
      <c r="BK182" s="7"/>
      <c r="BL182" s="1"/>
      <c r="BM182" s="1"/>
    </row>
    <row r="183" spans="62:65" ht="15.75" customHeight="1" x14ac:dyDescent="0.25">
      <c r="BJ183" s="6"/>
      <c r="BK183" s="7"/>
      <c r="BL183" s="1"/>
      <c r="BM183" s="1"/>
    </row>
    <row r="184" spans="62:65" ht="15.75" customHeight="1" x14ac:dyDescent="0.25">
      <c r="BJ184" s="6"/>
      <c r="BK184" s="7"/>
      <c r="BL184" s="1"/>
      <c r="BM184" s="1"/>
    </row>
    <row r="185" spans="62:65" ht="15.75" customHeight="1" x14ac:dyDescent="0.25">
      <c r="BJ185" s="6"/>
      <c r="BK185" s="7"/>
      <c r="BL185" s="1"/>
      <c r="BM185" s="1"/>
    </row>
    <row r="186" spans="62:65" ht="15.75" customHeight="1" x14ac:dyDescent="0.25">
      <c r="BJ186" s="6"/>
      <c r="BK186" s="7"/>
      <c r="BL186" s="1"/>
      <c r="BM186" s="1"/>
    </row>
    <row r="187" spans="62:65" ht="15.75" customHeight="1" x14ac:dyDescent="0.25">
      <c r="BJ187" s="6"/>
      <c r="BK187" s="7"/>
      <c r="BL187" s="1"/>
      <c r="BM187" s="1"/>
    </row>
    <row r="188" spans="62:65" ht="15.75" customHeight="1" x14ac:dyDescent="0.25">
      <c r="BJ188" s="6"/>
      <c r="BK188" s="7"/>
      <c r="BL188" s="1"/>
      <c r="BM188" s="1"/>
    </row>
    <row r="189" spans="62:65" ht="15.75" customHeight="1" x14ac:dyDescent="0.25">
      <c r="BJ189" s="6"/>
      <c r="BK189" s="7"/>
      <c r="BL189" s="1"/>
      <c r="BM189" s="1"/>
    </row>
    <row r="190" spans="62:65" ht="15.75" customHeight="1" x14ac:dyDescent="0.25">
      <c r="BJ190" s="6"/>
      <c r="BK190" s="7"/>
      <c r="BL190" s="1"/>
      <c r="BM190" s="1"/>
    </row>
    <row r="191" spans="62:65" ht="15.75" customHeight="1" x14ac:dyDescent="0.25">
      <c r="BJ191" s="6"/>
      <c r="BK191" s="7"/>
      <c r="BL191" s="1"/>
      <c r="BM191" s="1"/>
    </row>
    <row r="192" spans="62:65" ht="15.75" customHeight="1" x14ac:dyDescent="0.25">
      <c r="BJ192" s="6"/>
      <c r="BK192" s="7"/>
      <c r="BL192" s="1"/>
      <c r="BM192" s="1"/>
    </row>
    <row r="193" spans="62:65" ht="15.75" customHeight="1" x14ac:dyDescent="0.25">
      <c r="BJ193" s="6"/>
      <c r="BK193" s="7"/>
      <c r="BL193" s="1"/>
      <c r="BM193" s="1"/>
    </row>
    <row r="194" spans="62:65" ht="15.75" customHeight="1" x14ac:dyDescent="0.25">
      <c r="BJ194" s="6"/>
      <c r="BK194" s="7"/>
      <c r="BL194" s="1"/>
      <c r="BM194" s="1"/>
    </row>
    <row r="195" spans="62:65" ht="15.75" customHeight="1" x14ac:dyDescent="0.25">
      <c r="BJ195" s="6"/>
      <c r="BK195" s="7"/>
      <c r="BL195" s="1"/>
      <c r="BM195" s="1"/>
    </row>
    <row r="196" spans="62:65" ht="15.75" customHeight="1" x14ac:dyDescent="0.25">
      <c r="BJ196" s="6"/>
      <c r="BK196" s="7"/>
      <c r="BL196" s="1"/>
      <c r="BM196" s="1"/>
    </row>
    <row r="197" spans="62:65" ht="15.75" customHeight="1" x14ac:dyDescent="0.25">
      <c r="BJ197" s="6"/>
      <c r="BK197" s="7"/>
      <c r="BL197" s="1"/>
      <c r="BM197" s="1"/>
    </row>
    <row r="198" spans="62:65" ht="15.75" customHeight="1" x14ac:dyDescent="0.25">
      <c r="BJ198" s="6"/>
      <c r="BK198" s="7"/>
      <c r="BL198" s="1"/>
      <c r="BM198" s="1"/>
    </row>
    <row r="199" spans="62:65" ht="15.75" customHeight="1" x14ac:dyDescent="0.25">
      <c r="BJ199" s="6"/>
      <c r="BK199" s="7"/>
      <c r="BL199" s="1"/>
      <c r="BM199" s="1"/>
    </row>
    <row r="200" spans="62:65" ht="15.75" customHeight="1" x14ac:dyDescent="0.25">
      <c r="BJ200" s="6"/>
      <c r="BK200" s="7"/>
      <c r="BL200" s="1"/>
      <c r="BM200" s="1"/>
    </row>
    <row r="201" spans="62:65" ht="15.75" customHeight="1" x14ac:dyDescent="0.25">
      <c r="BJ201" s="6"/>
      <c r="BK201" s="7"/>
      <c r="BL201" s="1"/>
      <c r="BM201" s="1"/>
    </row>
    <row r="202" spans="62:65" ht="15.75" customHeight="1" x14ac:dyDescent="0.25">
      <c r="BJ202" s="6"/>
      <c r="BK202" s="7"/>
      <c r="BL202" s="1"/>
      <c r="BM202" s="1"/>
    </row>
    <row r="203" spans="62:65" ht="15.75" customHeight="1" x14ac:dyDescent="0.25">
      <c r="BJ203" s="6"/>
      <c r="BK203" s="7"/>
      <c r="BL203" s="1"/>
      <c r="BM203" s="1"/>
    </row>
    <row r="204" spans="62:65" ht="15.75" customHeight="1" x14ac:dyDescent="0.25">
      <c r="BJ204" s="6"/>
      <c r="BK204" s="7"/>
      <c r="BL204" s="1"/>
      <c r="BM204" s="1"/>
    </row>
    <row r="205" spans="62:65" ht="15.75" customHeight="1" x14ac:dyDescent="0.25">
      <c r="BJ205" s="6"/>
      <c r="BK205" s="7"/>
      <c r="BL205" s="1"/>
      <c r="BM205" s="1"/>
    </row>
    <row r="206" spans="62:65" ht="15.75" customHeight="1" x14ac:dyDescent="0.25">
      <c r="BJ206" s="6"/>
      <c r="BK206" s="7"/>
      <c r="BL206" s="1"/>
      <c r="BM206" s="1"/>
    </row>
    <row r="207" spans="62:65" ht="15.75" customHeight="1" x14ac:dyDescent="0.25">
      <c r="BJ207" s="6"/>
      <c r="BK207" s="7"/>
      <c r="BL207" s="1"/>
      <c r="BM207" s="1"/>
    </row>
    <row r="208" spans="62:65" ht="15.75" customHeight="1" x14ac:dyDescent="0.25">
      <c r="BJ208" s="6"/>
      <c r="BK208" s="7"/>
      <c r="BL208" s="1"/>
      <c r="BM208" s="1"/>
    </row>
    <row r="209" spans="62:65" ht="15.75" customHeight="1" x14ac:dyDescent="0.25">
      <c r="BJ209" s="6"/>
      <c r="BK209" s="7"/>
      <c r="BL209" s="1"/>
      <c r="BM209" s="1"/>
    </row>
    <row r="210" spans="62:65" ht="15.75" customHeight="1" x14ac:dyDescent="0.25">
      <c r="BJ210" s="6"/>
      <c r="BK210" s="7"/>
      <c r="BL210" s="1"/>
      <c r="BM210" s="1"/>
    </row>
    <row r="211" spans="62:65" ht="15.75" customHeight="1" x14ac:dyDescent="0.25">
      <c r="BJ211" s="6"/>
      <c r="BK211" s="7"/>
      <c r="BL211" s="1"/>
      <c r="BM211" s="1"/>
    </row>
    <row r="212" spans="62:65" ht="15.75" customHeight="1" x14ac:dyDescent="0.25">
      <c r="BJ212" s="6"/>
      <c r="BK212" s="7"/>
      <c r="BL212" s="1"/>
      <c r="BM212" s="1"/>
    </row>
    <row r="213" spans="62:65" ht="15.75" customHeight="1" x14ac:dyDescent="0.25">
      <c r="BJ213" s="6"/>
      <c r="BK213" s="7"/>
      <c r="BL213" s="1"/>
      <c r="BM213" s="1"/>
    </row>
    <row r="214" spans="62:65" ht="15.75" customHeight="1" x14ac:dyDescent="0.25">
      <c r="BJ214" s="6"/>
      <c r="BK214" s="7"/>
      <c r="BL214" s="1"/>
      <c r="BM214" s="1"/>
    </row>
    <row r="215" spans="62:65" ht="15.75" customHeight="1" x14ac:dyDescent="0.25">
      <c r="BJ215" s="6"/>
      <c r="BK215" s="7"/>
      <c r="BL215" s="1"/>
      <c r="BM215" s="1"/>
    </row>
    <row r="216" spans="62:65" ht="15.75" customHeight="1" x14ac:dyDescent="0.25">
      <c r="BJ216" s="6"/>
      <c r="BK216" s="7"/>
      <c r="BL216" s="1"/>
      <c r="BM216" s="1"/>
    </row>
    <row r="217" spans="62:65" ht="15.75" customHeight="1" x14ac:dyDescent="0.25">
      <c r="BJ217" s="6"/>
      <c r="BK217" s="7"/>
      <c r="BL217" s="1"/>
      <c r="BM217" s="1"/>
    </row>
    <row r="218" spans="62:65" ht="15.75" customHeight="1" x14ac:dyDescent="0.25">
      <c r="BJ218" s="6"/>
      <c r="BK218" s="7"/>
      <c r="BL218" s="1"/>
      <c r="BM218" s="1"/>
    </row>
    <row r="219" spans="62:65" ht="15.75" customHeight="1" x14ac:dyDescent="0.25">
      <c r="BJ219" s="6"/>
      <c r="BK219" s="7"/>
      <c r="BL219" s="1"/>
      <c r="BM219" s="1"/>
    </row>
    <row r="220" spans="62:65" ht="15.75" customHeight="1" x14ac:dyDescent="0.25">
      <c r="BJ220" s="6"/>
      <c r="BK220" s="7"/>
      <c r="BL220" s="1"/>
      <c r="BM220" s="1"/>
    </row>
    <row r="221" spans="62:65" ht="15.75" customHeight="1" x14ac:dyDescent="0.25">
      <c r="BJ221" s="6"/>
      <c r="BK221" s="7"/>
      <c r="BL221" s="1"/>
      <c r="BM221" s="1"/>
    </row>
    <row r="222" spans="62:65" ht="15.75" customHeight="1" x14ac:dyDescent="0.25">
      <c r="BJ222" s="6"/>
      <c r="BK222" s="7"/>
      <c r="BL222" s="1"/>
      <c r="BM222" s="1"/>
    </row>
    <row r="223" spans="62:65" ht="15.75" customHeight="1" x14ac:dyDescent="0.25">
      <c r="BJ223" s="6"/>
      <c r="BK223" s="7"/>
      <c r="BL223" s="1"/>
      <c r="BM223" s="1"/>
    </row>
    <row r="224" spans="62:65" ht="15.75" customHeight="1" x14ac:dyDescent="0.25">
      <c r="BJ224" s="6"/>
      <c r="BK224" s="7"/>
      <c r="BL224" s="1"/>
      <c r="BM224" s="1"/>
    </row>
    <row r="225" spans="62:65" ht="15.75" customHeight="1" x14ac:dyDescent="0.25">
      <c r="BJ225" s="6"/>
      <c r="BK225" s="7"/>
      <c r="BL225" s="1"/>
      <c r="BM225" s="1"/>
    </row>
    <row r="226" spans="62:65" ht="15.75" customHeight="1" x14ac:dyDescent="0.25">
      <c r="BJ226" s="6"/>
      <c r="BK226" s="7"/>
      <c r="BL226" s="1"/>
      <c r="BM226" s="1"/>
    </row>
    <row r="227" spans="62:65" ht="15.75" customHeight="1" x14ac:dyDescent="0.25">
      <c r="BJ227" s="6"/>
      <c r="BK227" s="7"/>
      <c r="BL227" s="1"/>
      <c r="BM227" s="1"/>
    </row>
    <row r="228" spans="62:65" ht="15.75" customHeight="1" x14ac:dyDescent="0.25">
      <c r="BJ228" s="6"/>
      <c r="BK228" s="7"/>
      <c r="BL228" s="1"/>
      <c r="BM228" s="1"/>
    </row>
    <row r="229" spans="62:65" ht="15.75" customHeight="1" x14ac:dyDescent="0.25">
      <c r="BJ229" s="6"/>
      <c r="BK229" s="7"/>
      <c r="BL229" s="1"/>
      <c r="BM229" s="1"/>
    </row>
    <row r="230" spans="62:65" ht="15.75" customHeight="1" x14ac:dyDescent="0.25">
      <c r="BJ230" s="6"/>
      <c r="BK230" s="7"/>
      <c r="BL230" s="1"/>
      <c r="BM230" s="1"/>
    </row>
    <row r="231" spans="62:65" ht="15.75" customHeight="1" x14ac:dyDescent="0.25">
      <c r="BJ231" s="6"/>
      <c r="BK231" s="7"/>
      <c r="BL231" s="1"/>
      <c r="BM231" s="1"/>
    </row>
    <row r="232" spans="62:65" ht="15.75" customHeight="1" x14ac:dyDescent="0.25">
      <c r="BJ232" s="6"/>
      <c r="BK232" s="7"/>
      <c r="BL232" s="1"/>
      <c r="BM232" s="1"/>
    </row>
    <row r="233" spans="62:65" ht="15.75" customHeight="1" x14ac:dyDescent="0.25">
      <c r="BJ233" s="6"/>
      <c r="BK233" s="7"/>
      <c r="BL233" s="1"/>
      <c r="BM233" s="1"/>
    </row>
    <row r="234" spans="62:65" ht="15.75" customHeight="1" x14ac:dyDescent="0.25">
      <c r="BJ234" s="6"/>
      <c r="BK234" s="7"/>
      <c r="BL234" s="1"/>
      <c r="BM234" s="1"/>
    </row>
    <row r="235" spans="62:65" ht="15.75" customHeight="1" x14ac:dyDescent="0.25">
      <c r="BJ235" s="6"/>
      <c r="BK235" s="7"/>
      <c r="BL235" s="1"/>
      <c r="BM235" s="1"/>
    </row>
    <row r="236" spans="62:65" ht="15.75" customHeight="1" x14ac:dyDescent="0.25">
      <c r="BJ236" s="6"/>
      <c r="BK236" s="7"/>
      <c r="BL236" s="1"/>
      <c r="BM236" s="1"/>
    </row>
    <row r="237" spans="62:65" ht="15.75" customHeight="1" x14ac:dyDescent="0.25">
      <c r="BJ237" s="6"/>
      <c r="BK237" s="7"/>
      <c r="BL237" s="1"/>
      <c r="BM237" s="1"/>
    </row>
    <row r="238" spans="62:65" ht="15.75" customHeight="1" x14ac:dyDescent="0.25">
      <c r="BJ238" s="6"/>
      <c r="BK238" s="7"/>
      <c r="BL238" s="1"/>
      <c r="BM238" s="1"/>
    </row>
    <row r="239" spans="62:65" ht="15.75" customHeight="1" x14ac:dyDescent="0.25">
      <c r="BJ239" s="6"/>
      <c r="BK239" s="7"/>
      <c r="BL239" s="1"/>
      <c r="BM239" s="1"/>
    </row>
    <row r="240" spans="62:65" ht="15.75" customHeight="1" x14ac:dyDescent="0.25">
      <c r="BJ240" s="6"/>
      <c r="BK240" s="7"/>
      <c r="BL240" s="1"/>
      <c r="BM240" s="1"/>
    </row>
    <row r="241" spans="62:65" ht="15.75" customHeight="1" x14ac:dyDescent="0.25">
      <c r="BJ241" s="6"/>
      <c r="BK241" s="7"/>
      <c r="BL241" s="1"/>
      <c r="BM241" s="1"/>
    </row>
    <row r="242" spans="62:65" ht="15.75" customHeight="1" x14ac:dyDescent="0.25">
      <c r="BJ242" s="6"/>
      <c r="BK242" s="7"/>
      <c r="BL242" s="1"/>
      <c r="BM242" s="1"/>
    </row>
    <row r="243" spans="62:65" ht="15.75" customHeight="1" x14ac:dyDescent="0.25">
      <c r="BJ243" s="6"/>
      <c r="BK243" s="7"/>
      <c r="BL243" s="1"/>
      <c r="BM243" s="1"/>
    </row>
    <row r="244" spans="62:65" ht="15.75" customHeight="1" x14ac:dyDescent="0.25">
      <c r="BJ244" s="6"/>
      <c r="BK244" s="7"/>
      <c r="BL244" s="1"/>
      <c r="BM244" s="1"/>
    </row>
    <row r="245" spans="62:65" ht="15.75" customHeight="1" x14ac:dyDescent="0.25">
      <c r="BJ245" s="6"/>
      <c r="BK245" s="7"/>
      <c r="BL245" s="1"/>
      <c r="BM245" s="1"/>
    </row>
    <row r="246" spans="62:65" ht="15.75" customHeight="1" x14ac:dyDescent="0.25">
      <c r="BJ246" s="6"/>
      <c r="BK246" s="7"/>
      <c r="BL246" s="1"/>
      <c r="BM246" s="1"/>
    </row>
    <row r="247" spans="62:65" ht="15.75" customHeight="1" x14ac:dyDescent="0.25">
      <c r="BJ247" s="6"/>
      <c r="BK247" s="7"/>
      <c r="BL247" s="1"/>
      <c r="BM247" s="1"/>
    </row>
    <row r="248" spans="62:65" ht="15.75" customHeight="1" x14ac:dyDescent="0.25">
      <c r="BJ248" s="6"/>
      <c r="BK248" s="7"/>
      <c r="BL248" s="1"/>
      <c r="BM248" s="1"/>
    </row>
    <row r="249" spans="62:65" ht="15.75" customHeight="1" x14ac:dyDescent="0.25">
      <c r="BJ249" s="6"/>
      <c r="BK249" s="7"/>
      <c r="BL249" s="1"/>
      <c r="BM249" s="1"/>
    </row>
    <row r="250" spans="62:65" ht="15.75" customHeight="1" x14ac:dyDescent="0.25">
      <c r="BJ250" s="6"/>
      <c r="BK250" s="7"/>
      <c r="BL250" s="1"/>
      <c r="BM250" s="1"/>
    </row>
    <row r="251" spans="62:65" ht="15.75" customHeight="1" x14ac:dyDescent="0.25">
      <c r="BJ251" s="6"/>
      <c r="BK251" s="7"/>
      <c r="BL251" s="1"/>
      <c r="BM251" s="1"/>
    </row>
    <row r="252" spans="62:65" ht="15.75" customHeight="1" x14ac:dyDescent="0.25">
      <c r="BJ252" s="6"/>
      <c r="BK252" s="7"/>
      <c r="BL252" s="1"/>
      <c r="BM252" s="1"/>
    </row>
    <row r="253" spans="62:65" ht="15.75" customHeight="1" x14ac:dyDescent="0.25">
      <c r="BJ253" s="6"/>
      <c r="BK253" s="7"/>
      <c r="BL253" s="1"/>
      <c r="BM253" s="1"/>
    </row>
    <row r="254" spans="62:65" ht="15.75" customHeight="1" x14ac:dyDescent="0.25">
      <c r="BJ254" s="6"/>
      <c r="BK254" s="7"/>
      <c r="BL254" s="1"/>
      <c r="BM254" s="1"/>
    </row>
    <row r="255" spans="62:65" ht="15.75" customHeight="1" x14ac:dyDescent="0.25">
      <c r="BJ255" s="6"/>
      <c r="BK255" s="7"/>
      <c r="BL255" s="1"/>
      <c r="BM255" s="1"/>
    </row>
    <row r="256" spans="62:65" ht="15.75" customHeight="1" x14ac:dyDescent="0.25">
      <c r="BJ256" s="6"/>
      <c r="BK256" s="7"/>
      <c r="BL256" s="1"/>
      <c r="BM256" s="1"/>
    </row>
    <row r="257" spans="62:65" ht="15.75" customHeight="1" x14ac:dyDescent="0.25">
      <c r="BJ257" s="6"/>
      <c r="BK257" s="7"/>
      <c r="BL257" s="1"/>
      <c r="BM257" s="1"/>
    </row>
    <row r="258" spans="62:65" ht="15.75" customHeight="1" x14ac:dyDescent="0.25">
      <c r="BJ258" s="6"/>
      <c r="BK258" s="7"/>
      <c r="BL258" s="1"/>
      <c r="BM258" s="1"/>
    </row>
    <row r="259" spans="62:65" ht="15.75" customHeight="1" x14ac:dyDescent="0.25">
      <c r="BJ259" s="6"/>
      <c r="BK259" s="7"/>
      <c r="BL259" s="1"/>
      <c r="BM259" s="1"/>
    </row>
    <row r="260" spans="62:65" ht="15.75" customHeight="1" x14ac:dyDescent="0.25">
      <c r="BJ260" s="6"/>
      <c r="BK260" s="7"/>
      <c r="BL260" s="1"/>
      <c r="BM260" s="1"/>
    </row>
    <row r="261" spans="62:65" ht="15.75" customHeight="1" x14ac:dyDescent="0.25">
      <c r="BJ261" s="6"/>
      <c r="BK261" s="7"/>
      <c r="BL261" s="1"/>
      <c r="BM261" s="1"/>
    </row>
    <row r="262" spans="62:65" ht="15.75" customHeight="1" x14ac:dyDescent="0.25">
      <c r="BJ262" s="6"/>
      <c r="BK262" s="7"/>
      <c r="BL262" s="1"/>
      <c r="BM262" s="1"/>
    </row>
    <row r="263" spans="62:65" ht="15.75" customHeight="1" x14ac:dyDescent="0.25">
      <c r="BJ263" s="6"/>
      <c r="BK263" s="7"/>
      <c r="BL263" s="1"/>
      <c r="BM263" s="1"/>
    </row>
    <row r="264" spans="62:65" ht="15.75" customHeight="1" x14ac:dyDescent="0.25">
      <c r="BJ264" s="6"/>
      <c r="BK264" s="7"/>
      <c r="BL264" s="1"/>
      <c r="BM264" s="1"/>
    </row>
    <row r="265" spans="62:65" ht="15.75" customHeight="1" x14ac:dyDescent="0.25">
      <c r="BJ265" s="6"/>
      <c r="BK265" s="7"/>
      <c r="BL265" s="1"/>
      <c r="BM265" s="1"/>
    </row>
    <row r="266" spans="62:65" ht="15.75" customHeight="1" x14ac:dyDescent="0.25">
      <c r="BJ266" s="6"/>
      <c r="BK266" s="7"/>
      <c r="BL266" s="1"/>
      <c r="BM266" s="1"/>
    </row>
    <row r="267" spans="62:65" ht="15.75" customHeight="1" x14ac:dyDescent="0.25">
      <c r="BJ267" s="6"/>
      <c r="BK267" s="7"/>
      <c r="BL267" s="1"/>
      <c r="BM267" s="1"/>
    </row>
    <row r="268" spans="62:65" ht="15.75" customHeight="1" x14ac:dyDescent="0.25">
      <c r="BJ268" s="6"/>
      <c r="BK268" s="7"/>
      <c r="BL268" s="1"/>
      <c r="BM268" s="1"/>
    </row>
    <row r="269" spans="62:65" ht="15.75" customHeight="1" x14ac:dyDescent="0.25">
      <c r="BJ269" s="6"/>
      <c r="BK269" s="7"/>
      <c r="BL269" s="1"/>
      <c r="BM269" s="1"/>
    </row>
    <row r="270" spans="62:65" ht="15.75" customHeight="1" x14ac:dyDescent="0.25">
      <c r="BJ270" s="6"/>
      <c r="BK270" s="7"/>
      <c r="BL270" s="1"/>
      <c r="BM270" s="1"/>
    </row>
    <row r="271" spans="62:65" ht="15.75" customHeight="1" x14ac:dyDescent="0.25">
      <c r="BJ271" s="6"/>
      <c r="BK271" s="7"/>
      <c r="BL271" s="1"/>
      <c r="BM271" s="1"/>
    </row>
    <row r="272" spans="62:65" ht="15.75" customHeight="1" x14ac:dyDescent="0.25">
      <c r="BJ272" s="6"/>
      <c r="BK272" s="7"/>
      <c r="BL272" s="1"/>
      <c r="BM272" s="1"/>
    </row>
    <row r="273" spans="62:65" ht="15.75" customHeight="1" x14ac:dyDescent="0.25">
      <c r="BJ273" s="6"/>
      <c r="BK273" s="7"/>
      <c r="BL273" s="1"/>
      <c r="BM273" s="1"/>
    </row>
    <row r="274" spans="62:65" ht="15.75" customHeight="1" x14ac:dyDescent="0.25">
      <c r="BJ274" s="6"/>
      <c r="BK274" s="7"/>
      <c r="BL274" s="1"/>
      <c r="BM274" s="1"/>
    </row>
    <row r="275" spans="62:65" ht="15.75" customHeight="1" x14ac:dyDescent="0.25">
      <c r="BJ275" s="6"/>
      <c r="BK275" s="7"/>
      <c r="BL275" s="1"/>
      <c r="BM275" s="1"/>
    </row>
    <row r="276" spans="62:65" ht="15.75" customHeight="1" x14ac:dyDescent="0.25">
      <c r="BJ276" s="6"/>
      <c r="BK276" s="7"/>
      <c r="BL276" s="1"/>
      <c r="BM276" s="1"/>
    </row>
    <row r="277" spans="62:65" ht="15.75" customHeight="1" x14ac:dyDescent="0.25">
      <c r="BJ277" s="6"/>
      <c r="BK277" s="7"/>
      <c r="BL277" s="1"/>
      <c r="BM277" s="1"/>
    </row>
    <row r="278" spans="62:65" ht="15.75" customHeight="1" x14ac:dyDescent="0.25">
      <c r="BJ278" s="6"/>
      <c r="BK278" s="7"/>
      <c r="BL278" s="1"/>
      <c r="BM278" s="1"/>
    </row>
    <row r="279" spans="62:65" ht="15.75" customHeight="1" x14ac:dyDescent="0.25">
      <c r="BJ279" s="6"/>
      <c r="BK279" s="7"/>
      <c r="BL279" s="1"/>
      <c r="BM279" s="1"/>
    </row>
    <row r="280" spans="62:65" ht="15.75" customHeight="1" x14ac:dyDescent="0.25">
      <c r="BJ280" s="6"/>
      <c r="BK280" s="7"/>
      <c r="BL280" s="1"/>
      <c r="BM280" s="1"/>
    </row>
    <row r="281" spans="62:65" ht="15.75" customHeight="1" x14ac:dyDescent="0.25">
      <c r="BJ281" s="6"/>
      <c r="BK281" s="7"/>
      <c r="BL281" s="1"/>
      <c r="BM281" s="1"/>
    </row>
    <row r="282" spans="62:65" ht="15.75" customHeight="1" x14ac:dyDescent="0.25">
      <c r="BJ282" s="6"/>
      <c r="BK282" s="7"/>
      <c r="BL282" s="1"/>
      <c r="BM282" s="1"/>
    </row>
    <row r="283" spans="62:65" ht="15.75" customHeight="1" x14ac:dyDescent="0.25">
      <c r="BJ283" s="6"/>
      <c r="BK283" s="7"/>
      <c r="BL283" s="1"/>
      <c r="BM283" s="1"/>
    </row>
    <row r="284" spans="62:65" ht="15.75" customHeight="1" x14ac:dyDescent="0.25">
      <c r="BJ284" s="6"/>
      <c r="BK284" s="7"/>
      <c r="BL284" s="1"/>
      <c r="BM284" s="1"/>
    </row>
    <row r="285" spans="62:65" ht="15.75" customHeight="1" x14ac:dyDescent="0.25">
      <c r="BJ285" s="6"/>
      <c r="BK285" s="7"/>
      <c r="BL285" s="1"/>
      <c r="BM285" s="1"/>
    </row>
    <row r="286" spans="62:65" ht="15.75" customHeight="1" x14ac:dyDescent="0.25">
      <c r="BJ286" s="6"/>
      <c r="BK286" s="7"/>
      <c r="BL286" s="1"/>
      <c r="BM286" s="1"/>
    </row>
    <row r="287" spans="62:65" ht="15.75" customHeight="1" x14ac:dyDescent="0.25">
      <c r="BJ287" s="6"/>
      <c r="BK287" s="7"/>
      <c r="BL287" s="1"/>
      <c r="BM287" s="1"/>
    </row>
    <row r="288" spans="62:65" ht="15.75" customHeight="1" x14ac:dyDescent="0.25">
      <c r="BJ288" s="6"/>
      <c r="BK288" s="7"/>
      <c r="BL288" s="1"/>
      <c r="BM288" s="1"/>
    </row>
    <row r="289" spans="62:65" ht="15.75" customHeight="1" x14ac:dyDescent="0.25">
      <c r="BJ289" s="6"/>
      <c r="BK289" s="7"/>
      <c r="BL289" s="1"/>
      <c r="BM289" s="1"/>
    </row>
    <row r="290" spans="62:65" ht="15.75" customHeight="1" x14ac:dyDescent="0.25">
      <c r="BJ290" s="6"/>
      <c r="BK290" s="7"/>
      <c r="BL290" s="1"/>
      <c r="BM290" s="1"/>
    </row>
    <row r="291" spans="62:65" ht="15.75" customHeight="1" x14ac:dyDescent="0.25">
      <c r="BJ291" s="6"/>
      <c r="BK291" s="7"/>
      <c r="BL291" s="1"/>
      <c r="BM291" s="1"/>
    </row>
    <row r="292" spans="62:65" ht="15.75" customHeight="1" x14ac:dyDescent="0.25">
      <c r="BJ292" s="6"/>
      <c r="BK292" s="7"/>
      <c r="BL292" s="1"/>
      <c r="BM292" s="1"/>
    </row>
    <row r="293" spans="62:65" ht="15.75" customHeight="1" x14ac:dyDescent="0.25">
      <c r="BJ293" s="6"/>
      <c r="BK293" s="7"/>
      <c r="BL293" s="1"/>
      <c r="BM293" s="1"/>
    </row>
    <row r="294" spans="62:65" ht="15.75" customHeight="1" x14ac:dyDescent="0.25">
      <c r="BJ294" s="6"/>
      <c r="BK294" s="7"/>
      <c r="BL294" s="1"/>
      <c r="BM294" s="1"/>
    </row>
    <row r="295" spans="62:65" ht="15.75" customHeight="1" x14ac:dyDescent="0.25">
      <c r="BJ295" s="6"/>
      <c r="BK295" s="7"/>
      <c r="BL295" s="1"/>
      <c r="BM295" s="1"/>
    </row>
    <row r="296" spans="62:65" ht="15.75" customHeight="1" x14ac:dyDescent="0.25">
      <c r="BJ296" s="6"/>
      <c r="BK296" s="7"/>
      <c r="BL296" s="1"/>
      <c r="BM296" s="1"/>
    </row>
    <row r="297" spans="62:65" ht="15.75" customHeight="1" x14ac:dyDescent="0.25">
      <c r="BJ297" s="6"/>
      <c r="BK297" s="7"/>
      <c r="BL297" s="1"/>
      <c r="BM297" s="1"/>
    </row>
    <row r="298" spans="62:65" ht="15.75" customHeight="1" x14ac:dyDescent="0.25">
      <c r="BJ298" s="6"/>
      <c r="BK298" s="7"/>
      <c r="BL298" s="1"/>
      <c r="BM298" s="1"/>
    </row>
    <row r="299" spans="62:65" ht="15.75" customHeight="1" x14ac:dyDescent="0.25">
      <c r="BJ299" s="6"/>
      <c r="BK299" s="7"/>
      <c r="BL299" s="1"/>
      <c r="BM299" s="1"/>
    </row>
    <row r="300" spans="62:65" ht="15.75" customHeight="1" x14ac:dyDescent="0.25">
      <c r="BJ300" s="6"/>
      <c r="BK300" s="7"/>
      <c r="BL300" s="1"/>
      <c r="BM300" s="1"/>
    </row>
    <row r="301" spans="62:65" ht="15.75" customHeight="1" x14ac:dyDescent="0.25">
      <c r="BJ301" s="6"/>
      <c r="BK301" s="7"/>
      <c r="BL301" s="1"/>
      <c r="BM301" s="1"/>
    </row>
    <row r="302" spans="62:65" ht="15.75" customHeight="1" x14ac:dyDescent="0.25">
      <c r="BJ302" s="6"/>
      <c r="BK302" s="7"/>
      <c r="BL302" s="1"/>
      <c r="BM302" s="1"/>
    </row>
    <row r="303" spans="62:65" ht="15.75" customHeight="1" x14ac:dyDescent="0.25">
      <c r="BJ303" s="6"/>
      <c r="BK303" s="7"/>
      <c r="BL303" s="1"/>
      <c r="BM303" s="1"/>
    </row>
    <row r="304" spans="62:65" ht="15.75" customHeight="1" x14ac:dyDescent="0.25">
      <c r="BJ304" s="6"/>
      <c r="BK304" s="7"/>
      <c r="BL304" s="1"/>
      <c r="BM304" s="1"/>
    </row>
    <row r="305" spans="62:65" ht="15.75" customHeight="1" x14ac:dyDescent="0.25">
      <c r="BJ305" s="6"/>
      <c r="BK305" s="7"/>
      <c r="BL305" s="1"/>
      <c r="BM305" s="1"/>
    </row>
    <row r="306" spans="62:65" ht="15.75" customHeight="1" x14ac:dyDescent="0.25">
      <c r="BJ306" s="6"/>
      <c r="BK306" s="7"/>
      <c r="BL306" s="1"/>
      <c r="BM306" s="1"/>
    </row>
    <row r="307" spans="62:65" ht="15.75" customHeight="1" x14ac:dyDescent="0.25">
      <c r="BJ307" s="6"/>
      <c r="BK307" s="7"/>
      <c r="BL307" s="1"/>
      <c r="BM307" s="1"/>
    </row>
    <row r="308" spans="62:65" ht="15.75" customHeight="1" x14ac:dyDescent="0.25">
      <c r="BJ308" s="6"/>
      <c r="BK308" s="7"/>
      <c r="BL308" s="1"/>
      <c r="BM308" s="1"/>
    </row>
    <row r="309" spans="62:65" ht="15.75" customHeight="1" x14ac:dyDescent="0.25">
      <c r="BJ309" s="6"/>
      <c r="BK309" s="7"/>
      <c r="BL309" s="1"/>
      <c r="BM309" s="1"/>
    </row>
    <row r="310" spans="62:65" ht="15.75" customHeight="1" x14ac:dyDescent="0.25">
      <c r="BJ310" s="6"/>
      <c r="BK310" s="7"/>
      <c r="BL310" s="1"/>
      <c r="BM310" s="1"/>
    </row>
    <row r="311" spans="62:65" ht="15.75" customHeight="1" x14ac:dyDescent="0.25">
      <c r="BJ311" s="6"/>
      <c r="BK311" s="7"/>
      <c r="BL311" s="1"/>
      <c r="BM311" s="1"/>
    </row>
    <row r="312" spans="62:65" ht="15.75" customHeight="1" x14ac:dyDescent="0.25">
      <c r="BJ312" s="6"/>
      <c r="BK312" s="7"/>
      <c r="BL312" s="1"/>
      <c r="BM312" s="1"/>
    </row>
    <row r="313" spans="62:65" ht="15.75" customHeight="1" x14ac:dyDescent="0.25">
      <c r="BJ313" s="6"/>
      <c r="BK313" s="7"/>
      <c r="BL313" s="1"/>
      <c r="BM313" s="1"/>
    </row>
    <row r="314" spans="62:65" ht="15.75" customHeight="1" x14ac:dyDescent="0.25">
      <c r="BJ314" s="6"/>
      <c r="BK314" s="7"/>
      <c r="BL314" s="1"/>
      <c r="BM314" s="1"/>
    </row>
    <row r="315" spans="62:65" ht="15.75" customHeight="1" x14ac:dyDescent="0.25">
      <c r="BJ315" s="6"/>
      <c r="BK315" s="7"/>
      <c r="BL315" s="1"/>
      <c r="BM315" s="1"/>
    </row>
    <row r="316" spans="62:65" ht="15.75" customHeight="1" x14ac:dyDescent="0.25">
      <c r="BJ316" s="6"/>
      <c r="BK316" s="7"/>
      <c r="BL316" s="1"/>
      <c r="BM316" s="1"/>
    </row>
    <row r="317" spans="62:65" ht="15.75" customHeight="1" x14ac:dyDescent="0.25">
      <c r="BJ317" s="6"/>
      <c r="BK317" s="7"/>
      <c r="BL317" s="1"/>
      <c r="BM317" s="1"/>
    </row>
    <row r="318" spans="62:65" ht="15.75" customHeight="1" x14ac:dyDescent="0.25">
      <c r="BJ318" s="6"/>
      <c r="BK318" s="7"/>
      <c r="BL318" s="1"/>
      <c r="BM318" s="1"/>
    </row>
    <row r="319" spans="62:65" ht="15.75" customHeight="1" x14ac:dyDescent="0.25">
      <c r="BJ319" s="6"/>
      <c r="BK319" s="7"/>
      <c r="BL319" s="1"/>
      <c r="BM319" s="1"/>
    </row>
    <row r="320" spans="62:65" ht="15.75" customHeight="1" x14ac:dyDescent="0.25">
      <c r="BJ320" s="6"/>
      <c r="BK320" s="7"/>
      <c r="BL320" s="1"/>
      <c r="BM320" s="1"/>
    </row>
    <row r="321" spans="62:65" ht="15.75" customHeight="1" x14ac:dyDescent="0.25">
      <c r="BJ321" s="6"/>
      <c r="BK321" s="7"/>
      <c r="BL321" s="1"/>
      <c r="BM321" s="1"/>
    </row>
    <row r="322" spans="62:65" ht="15.75" customHeight="1" x14ac:dyDescent="0.25">
      <c r="BJ322" s="6"/>
      <c r="BK322" s="7"/>
      <c r="BL322" s="1"/>
      <c r="BM322" s="1"/>
    </row>
    <row r="323" spans="62:65" ht="15.75" customHeight="1" x14ac:dyDescent="0.25">
      <c r="BJ323" s="6"/>
      <c r="BK323" s="7"/>
      <c r="BL323" s="1"/>
      <c r="BM323" s="1"/>
    </row>
    <row r="324" spans="62:65" ht="15.75" customHeight="1" x14ac:dyDescent="0.25">
      <c r="BJ324" s="6"/>
      <c r="BK324" s="7"/>
      <c r="BL324" s="1"/>
      <c r="BM324" s="1"/>
    </row>
    <row r="325" spans="62:65" ht="15.75" customHeight="1" x14ac:dyDescent="0.25">
      <c r="BJ325" s="6"/>
      <c r="BK325" s="7"/>
      <c r="BL325" s="1"/>
      <c r="BM325" s="1"/>
    </row>
    <row r="326" spans="62:65" ht="15.75" customHeight="1" x14ac:dyDescent="0.25">
      <c r="BJ326" s="6"/>
      <c r="BK326" s="7"/>
      <c r="BL326" s="1"/>
      <c r="BM326" s="1"/>
    </row>
    <row r="327" spans="62:65" ht="15.75" customHeight="1" x14ac:dyDescent="0.25">
      <c r="BJ327" s="6"/>
      <c r="BK327" s="7"/>
      <c r="BL327" s="1"/>
      <c r="BM327" s="1"/>
    </row>
    <row r="328" spans="62:65" ht="15.75" customHeight="1" x14ac:dyDescent="0.25">
      <c r="BJ328" s="6"/>
      <c r="BK328" s="7"/>
      <c r="BL328" s="1"/>
      <c r="BM328" s="1"/>
    </row>
    <row r="329" spans="62:65" ht="15.75" customHeight="1" x14ac:dyDescent="0.25">
      <c r="BJ329" s="6"/>
      <c r="BK329" s="7"/>
      <c r="BL329" s="1"/>
      <c r="BM329" s="1"/>
    </row>
    <row r="330" spans="62:65" ht="15.75" customHeight="1" x14ac:dyDescent="0.25">
      <c r="BJ330" s="6"/>
      <c r="BK330" s="7"/>
      <c r="BL330" s="1"/>
      <c r="BM330" s="1"/>
    </row>
    <row r="331" spans="62:65" ht="15.75" customHeight="1" x14ac:dyDescent="0.25">
      <c r="BJ331" s="6"/>
      <c r="BK331" s="7"/>
      <c r="BL331" s="1"/>
      <c r="BM331" s="1"/>
    </row>
    <row r="332" spans="62:65" ht="15.75" customHeight="1" x14ac:dyDescent="0.25">
      <c r="BJ332" s="6"/>
      <c r="BK332" s="7"/>
      <c r="BL332" s="1"/>
      <c r="BM332" s="1"/>
    </row>
    <row r="333" spans="62:65" ht="15.75" customHeight="1" x14ac:dyDescent="0.25">
      <c r="BJ333" s="6"/>
      <c r="BK333" s="7"/>
      <c r="BL333" s="1"/>
      <c r="BM333" s="1"/>
    </row>
    <row r="334" spans="62:65" ht="15.75" customHeight="1" x14ac:dyDescent="0.25">
      <c r="BJ334" s="6"/>
      <c r="BK334" s="7"/>
      <c r="BL334" s="1"/>
      <c r="BM334" s="1"/>
    </row>
    <row r="335" spans="62:65" ht="15.75" customHeight="1" x14ac:dyDescent="0.25">
      <c r="BJ335" s="6"/>
      <c r="BK335" s="7"/>
      <c r="BL335" s="1"/>
      <c r="BM335" s="1"/>
    </row>
    <row r="336" spans="62:65" ht="15.75" customHeight="1" x14ac:dyDescent="0.25">
      <c r="BJ336" s="6"/>
      <c r="BK336" s="7"/>
      <c r="BL336" s="1"/>
      <c r="BM336" s="1"/>
    </row>
    <row r="337" spans="62:65" ht="15.75" customHeight="1" x14ac:dyDescent="0.25">
      <c r="BJ337" s="6"/>
      <c r="BK337" s="7"/>
      <c r="BL337" s="1"/>
      <c r="BM337" s="1"/>
    </row>
    <row r="338" spans="62:65" ht="15.75" customHeight="1" x14ac:dyDescent="0.25">
      <c r="BJ338" s="6"/>
      <c r="BK338" s="7"/>
      <c r="BL338" s="1"/>
      <c r="BM338" s="1"/>
    </row>
    <row r="339" spans="62:65" ht="15.75" customHeight="1" x14ac:dyDescent="0.25">
      <c r="BJ339" s="6"/>
      <c r="BK339" s="7"/>
      <c r="BL339" s="1"/>
      <c r="BM339" s="1"/>
    </row>
    <row r="340" spans="62:65" ht="15.75" customHeight="1" x14ac:dyDescent="0.25">
      <c r="BJ340" s="6"/>
      <c r="BK340" s="7"/>
      <c r="BL340" s="1"/>
      <c r="BM340" s="1"/>
    </row>
    <row r="341" spans="62:65" ht="15.75" customHeight="1" x14ac:dyDescent="0.25">
      <c r="BJ341" s="6"/>
      <c r="BK341" s="7"/>
      <c r="BL341" s="1"/>
      <c r="BM341" s="1"/>
    </row>
    <row r="342" spans="62:65" ht="15.75" customHeight="1" x14ac:dyDescent="0.25">
      <c r="BJ342" s="6"/>
      <c r="BK342" s="7"/>
      <c r="BL342" s="1"/>
      <c r="BM342" s="1"/>
    </row>
    <row r="343" spans="62:65" ht="15.75" customHeight="1" x14ac:dyDescent="0.25">
      <c r="BJ343" s="6"/>
      <c r="BK343" s="7"/>
      <c r="BL343" s="1"/>
      <c r="BM343" s="1"/>
    </row>
    <row r="344" spans="62:65" ht="15.75" customHeight="1" x14ac:dyDescent="0.25">
      <c r="BJ344" s="6"/>
      <c r="BK344" s="7"/>
      <c r="BL344" s="1"/>
      <c r="BM344" s="1"/>
    </row>
    <row r="345" spans="62:65" ht="15.75" customHeight="1" x14ac:dyDescent="0.25">
      <c r="BJ345" s="6"/>
      <c r="BK345" s="7"/>
      <c r="BL345" s="1"/>
      <c r="BM345" s="1"/>
    </row>
    <row r="346" spans="62:65" ht="15.75" customHeight="1" x14ac:dyDescent="0.25">
      <c r="BJ346" s="6"/>
      <c r="BK346" s="7"/>
      <c r="BL346" s="1"/>
      <c r="BM346" s="1"/>
    </row>
    <row r="347" spans="62:65" ht="15.75" customHeight="1" x14ac:dyDescent="0.25">
      <c r="BJ347" s="6"/>
      <c r="BK347" s="7"/>
      <c r="BL347" s="1"/>
      <c r="BM347" s="1"/>
    </row>
    <row r="348" spans="62:65" ht="15.75" customHeight="1" x14ac:dyDescent="0.25">
      <c r="BJ348" s="6"/>
      <c r="BK348" s="7"/>
      <c r="BL348" s="1"/>
      <c r="BM348" s="1"/>
    </row>
    <row r="349" spans="62:65" ht="15.75" customHeight="1" x14ac:dyDescent="0.25">
      <c r="BJ349" s="6"/>
      <c r="BK349" s="7"/>
      <c r="BL349" s="1"/>
      <c r="BM349" s="1"/>
    </row>
    <row r="350" spans="62:65" ht="15.75" customHeight="1" x14ac:dyDescent="0.25">
      <c r="BJ350" s="6"/>
      <c r="BK350" s="7"/>
      <c r="BL350" s="1"/>
      <c r="BM350" s="1"/>
    </row>
    <row r="351" spans="62:65" ht="15.75" customHeight="1" x14ac:dyDescent="0.25">
      <c r="BJ351" s="6"/>
      <c r="BK351" s="7"/>
      <c r="BL351" s="1"/>
      <c r="BM351" s="1"/>
    </row>
    <row r="352" spans="62:65" ht="15.75" customHeight="1" x14ac:dyDescent="0.25">
      <c r="BJ352" s="6"/>
      <c r="BK352" s="7"/>
      <c r="BL352" s="1"/>
      <c r="BM352" s="1"/>
    </row>
    <row r="353" spans="62:65" ht="15.75" customHeight="1" x14ac:dyDescent="0.25">
      <c r="BJ353" s="6"/>
      <c r="BK353" s="7"/>
      <c r="BL353" s="1"/>
      <c r="BM353" s="1"/>
    </row>
    <row r="354" spans="62:65" ht="15.75" customHeight="1" x14ac:dyDescent="0.25">
      <c r="BJ354" s="6"/>
      <c r="BK354" s="7"/>
      <c r="BL354" s="1"/>
      <c r="BM354" s="1"/>
    </row>
    <row r="355" spans="62:65" ht="15.75" customHeight="1" x14ac:dyDescent="0.25">
      <c r="BJ355" s="6"/>
      <c r="BK355" s="7"/>
      <c r="BL355" s="1"/>
      <c r="BM355" s="1"/>
    </row>
    <row r="356" spans="62:65" ht="15.75" customHeight="1" x14ac:dyDescent="0.25">
      <c r="BJ356" s="6"/>
      <c r="BK356" s="7"/>
      <c r="BL356" s="1"/>
      <c r="BM356" s="1"/>
    </row>
    <row r="357" spans="62:65" ht="15.75" customHeight="1" x14ac:dyDescent="0.25">
      <c r="BJ357" s="6"/>
      <c r="BK357" s="7"/>
      <c r="BL357" s="1"/>
      <c r="BM357" s="1"/>
    </row>
    <row r="358" spans="62:65" ht="15.75" customHeight="1" x14ac:dyDescent="0.25">
      <c r="BJ358" s="6"/>
      <c r="BK358" s="7"/>
      <c r="BL358" s="1"/>
      <c r="BM358" s="1"/>
    </row>
    <row r="359" spans="62:65" ht="15.75" customHeight="1" x14ac:dyDescent="0.25">
      <c r="BJ359" s="6"/>
      <c r="BK359" s="7"/>
      <c r="BL359" s="1"/>
      <c r="BM359" s="1"/>
    </row>
    <row r="360" spans="62:65" ht="15.75" customHeight="1" x14ac:dyDescent="0.25">
      <c r="BJ360" s="6"/>
      <c r="BK360" s="7"/>
      <c r="BL360" s="1"/>
      <c r="BM360" s="1"/>
    </row>
    <row r="361" spans="62:65" ht="15.75" customHeight="1" x14ac:dyDescent="0.25">
      <c r="BJ361" s="6"/>
      <c r="BK361" s="7"/>
      <c r="BL361" s="1"/>
      <c r="BM361" s="1"/>
    </row>
    <row r="362" spans="62:65" ht="15.75" customHeight="1" x14ac:dyDescent="0.25">
      <c r="BJ362" s="6"/>
      <c r="BK362" s="7"/>
      <c r="BL362" s="1"/>
      <c r="BM362" s="1"/>
    </row>
    <row r="363" spans="62:65" ht="15.75" customHeight="1" x14ac:dyDescent="0.25">
      <c r="BJ363" s="6"/>
      <c r="BK363" s="7"/>
      <c r="BL363" s="1"/>
      <c r="BM363" s="1"/>
    </row>
    <row r="364" spans="62:65" ht="15.75" customHeight="1" x14ac:dyDescent="0.25">
      <c r="BJ364" s="6"/>
      <c r="BK364" s="7"/>
      <c r="BL364" s="1"/>
      <c r="BM364" s="1"/>
    </row>
    <row r="365" spans="62:65" ht="15.75" customHeight="1" x14ac:dyDescent="0.25">
      <c r="BJ365" s="6"/>
      <c r="BK365" s="7"/>
      <c r="BL365" s="1"/>
      <c r="BM365" s="1"/>
    </row>
    <row r="366" spans="62:65" ht="15.75" customHeight="1" x14ac:dyDescent="0.25">
      <c r="BJ366" s="6"/>
      <c r="BK366" s="7"/>
      <c r="BL366" s="1"/>
      <c r="BM366" s="1"/>
    </row>
    <row r="367" spans="62:65" ht="15.75" customHeight="1" x14ac:dyDescent="0.25">
      <c r="BJ367" s="6"/>
      <c r="BK367" s="7"/>
      <c r="BL367" s="1"/>
      <c r="BM367" s="1"/>
    </row>
    <row r="368" spans="62:65" ht="15.75" customHeight="1" x14ac:dyDescent="0.25">
      <c r="BJ368" s="6"/>
      <c r="BK368" s="7"/>
      <c r="BL368" s="1"/>
      <c r="BM368" s="1"/>
    </row>
    <row r="369" spans="62:65" ht="15.75" customHeight="1" x14ac:dyDescent="0.25">
      <c r="BJ369" s="6"/>
      <c r="BK369" s="7"/>
      <c r="BL369" s="1"/>
      <c r="BM369" s="1"/>
    </row>
    <row r="370" spans="62:65" ht="15.75" customHeight="1" x14ac:dyDescent="0.25">
      <c r="BJ370" s="6"/>
      <c r="BK370" s="7"/>
      <c r="BL370" s="1"/>
      <c r="BM370" s="1"/>
    </row>
    <row r="371" spans="62:65" ht="15.75" customHeight="1" x14ac:dyDescent="0.25">
      <c r="BJ371" s="6"/>
      <c r="BK371" s="7"/>
      <c r="BL371" s="1"/>
      <c r="BM371" s="1"/>
    </row>
    <row r="372" spans="62:65" ht="15.75" customHeight="1" x14ac:dyDescent="0.25">
      <c r="BJ372" s="6"/>
      <c r="BK372" s="7"/>
      <c r="BL372" s="1"/>
      <c r="BM372" s="1"/>
    </row>
    <row r="373" spans="62:65" ht="15.75" customHeight="1" x14ac:dyDescent="0.25">
      <c r="BJ373" s="6"/>
      <c r="BK373" s="7"/>
      <c r="BL373" s="1"/>
      <c r="BM373" s="1"/>
    </row>
    <row r="374" spans="62:65" ht="15.75" customHeight="1" x14ac:dyDescent="0.25">
      <c r="BJ374" s="6"/>
      <c r="BK374" s="7"/>
      <c r="BL374" s="1"/>
      <c r="BM374" s="1"/>
    </row>
    <row r="375" spans="62:65" ht="15.75" customHeight="1" x14ac:dyDescent="0.25">
      <c r="BJ375" s="6"/>
      <c r="BK375" s="7"/>
      <c r="BL375" s="1"/>
      <c r="BM375" s="1"/>
    </row>
    <row r="376" spans="62:65" ht="15.75" customHeight="1" x14ac:dyDescent="0.25">
      <c r="BJ376" s="6"/>
      <c r="BK376" s="7"/>
      <c r="BL376" s="1"/>
      <c r="BM376" s="1"/>
    </row>
    <row r="377" spans="62:65" ht="15.75" customHeight="1" x14ac:dyDescent="0.25">
      <c r="BJ377" s="6"/>
      <c r="BK377" s="7"/>
      <c r="BL377" s="1"/>
      <c r="BM377" s="1"/>
    </row>
    <row r="378" spans="62:65" ht="15.75" customHeight="1" x14ac:dyDescent="0.25">
      <c r="BJ378" s="6"/>
      <c r="BK378" s="7"/>
      <c r="BL378" s="1"/>
      <c r="BM378" s="1"/>
    </row>
    <row r="379" spans="62:65" ht="15.75" customHeight="1" x14ac:dyDescent="0.25">
      <c r="BJ379" s="6"/>
      <c r="BK379" s="7"/>
      <c r="BL379" s="1"/>
      <c r="BM379" s="1"/>
    </row>
    <row r="380" spans="62:65" ht="15.75" customHeight="1" x14ac:dyDescent="0.25">
      <c r="BJ380" s="6"/>
      <c r="BK380" s="7"/>
      <c r="BL380" s="1"/>
      <c r="BM380" s="1"/>
    </row>
    <row r="381" spans="62:65" ht="15.75" customHeight="1" x14ac:dyDescent="0.25">
      <c r="BJ381" s="6"/>
      <c r="BK381" s="7"/>
      <c r="BL381" s="1"/>
      <c r="BM381" s="1"/>
    </row>
    <row r="382" spans="62:65" ht="15.75" customHeight="1" x14ac:dyDescent="0.25">
      <c r="BJ382" s="6"/>
      <c r="BK382" s="7"/>
      <c r="BL382" s="1"/>
      <c r="BM382" s="1"/>
    </row>
    <row r="383" spans="62:65" ht="15.75" customHeight="1" x14ac:dyDescent="0.25">
      <c r="BJ383" s="6"/>
      <c r="BK383" s="7"/>
      <c r="BL383" s="1"/>
      <c r="BM383" s="1"/>
    </row>
    <row r="384" spans="62:65" ht="15.75" customHeight="1" x14ac:dyDescent="0.25">
      <c r="BJ384" s="6"/>
      <c r="BK384" s="7"/>
      <c r="BL384" s="1"/>
      <c r="BM384" s="1"/>
    </row>
    <row r="385" spans="62:65" ht="15.75" customHeight="1" x14ac:dyDescent="0.25">
      <c r="BJ385" s="6"/>
      <c r="BK385" s="7"/>
      <c r="BL385" s="1"/>
      <c r="BM385" s="1"/>
    </row>
    <row r="386" spans="62:65" ht="15.75" customHeight="1" x14ac:dyDescent="0.25">
      <c r="BJ386" s="6"/>
      <c r="BK386" s="7"/>
      <c r="BL386" s="1"/>
      <c r="BM386" s="1"/>
    </row>
    <row r="387" spans="62:65" ht="15.75" customHeight="1" x14ac:dyDescent="0.25">
      <c r="BJ387" s="6"/>
      <c r="BK387" s="7"/>
      <c r="BL387" s="1"/>
      <c r="BM387" s="1"/>
    </row>
    <row r="388" spans="62:65" ht="15.75" customHeight="1" x14ac:dyDescent="0.25">
      <c r="BJ388" s="6"/>
      <c r="BK388" s="7"/>
      <c r="BL388" s="1"/>
      <c r="BM388" s="1"/>
    </row>
    <row r="389" spans="62:65" ht="15.75" customHeight="1" x14ac:dyDescent="0.25">
      <c r="BJ389" s="6"/>
      <c r="BK389" s="7"/>
      <c r="BL389" s="1"/>
      <c r="BM389" s="1"/>
    </row>
    <row r="390" spans="62:65" ht="15.75" customHeight="1" x14ac:dyDescent="0.25">
      <c r="BJ390" s="6"/>
      <c r="BK390" s="7"/>
      <c r="BL390" s="1"/>
      <c r="BM390" s="1"/>
    </row>
    <row r="391" spans="62:65" ht="15.75" customHeight="1" x14ac:dyDescent="0.25">
      <c r="BJ391" s="6"/>
      <c r="BK391" s="7"/>
      <c r="BL391" s="1"/>
      <c r="BM391" s="1"/>
    </row>
    <row r="392" spans="62:65" ht="15.75" customHeight="1" x14ac:dyDescent="0.25">
      <c r="BJ392" s="6"/>
      <c r="BK392" s="7"/>
      <c r="BL392" s="1"/>
      <c r="BM392" s="1"/>
    </row>
    <row r="393" spans="62:65" ht="15.75" customHeight="1" x14ac:dyDescent="0.25">
      <c r="BJ393" s="6"/>
      <c r="BK393" s="7"/>
      <c r="BL393" s="1"/>
      <c r="BM393" s="1"/>
    </row>
    <row r="394" spans="62:65" ht="15.75" customHeight="1" x14ac:dyDescent="0.25">
      <c r="BJ394" s="6"/>
      <c r="BK394" s="7"/>
      <c r="BL394" s="1"/>
      <c r="BM394" s="1"/>
    </row>
    <row r="395" spans="62:65" ht="15.75" customHeight="1" x14ac:dyDescent="0.25">
      <c r="BJ395" s="6"/>
      <c r="BK395" s="7"/>
      <c r="BL395" s="1"/>
      <c r="BM395" s="1"/>
    </row>
    <row r="396" spans="62:65" ht="15.75" customHeight="1" x14ac:dyDescent="0.25">
      <c r="BJ396" s="6"/>
      <c r="BK396" s="7"/>
      <c r="BL396" s="1"/>
      <c r="BM396" s="1"/>
    </row>
    <row r="397" spans="62:65" ht="15.75" customHeight="1" x14ac:dyDescent="0.25">
      <c r="BJ397" s="6"/>
      <c r="BK397" s="7"/>
      <c r="BL397" s="1"/>
      <c r="BM397" s="1"/>
    </row>
    <row r="398" spans="62:65" ht="15.75" customHeight="1" x14ac:dyDescent="0.25">
      <c r="BJ398" s="6"/>
      <c r="BK398" s="7"/>
      <c r="BL398" s="1"/>
      <c r="BM398" s="1"/>
    </row>
    <row r="399" spans="62:65" ht="15.75" customHeight="1" x14ac:dyDescent="0.25">
      <c r="BJ399" s="6"/>
      <c r="BK399" s="7"/>
      <c r="BL399" s="1"/>
      <c r="BM399" s="1"/>
    </row>
    <row r="400" spans="62:65" ht="15.75" customHeight="1" x14ac:dyDescent="0.25">
      <c r="BJ400" s="6"/>
      <c r="BK400" s="7"/>
      <c r="BL400" s="1"/>
      <c r="BM400" s="1"/>
    </row>
    <row r="401" spans="62:65" ht="15.75" customHeight="1" x14ac:dyDescent="0.25">
      <c r="BJ401" s="6"/>
      <c r="BK401" s="7"/>
      <c r="BL401" s="1"/>
      <c r="BM401" s="1"/>
    </row>
    <row r="402" spans="62:65" ht="15.75" customHeight="1" x14ac:dyDescent="0.25">
      <c r="BJ402" s="6"/>
      <c r="BK402" s="7"/>
      <c r="BL402" s="1"/>
      <c r="BM402" s="1"/>
    </row>
    <row r="403" spans="62:65" ht="15.75" customHeight="1" x14ac:dyDescent="0.25">
      <c r="BJ403" s="6"/>
      <c r="BK403" s="7"/>
      <c r="BL403" s="1"/>
      <c r="BM403" s="1"/>
    </row>
    <row r="404" spans="62:65" ht="15.75" customHeight="1" x14ac:dyDescent="0.25">
      <c r="BJ404" s="6"/>
      <c r="BK404" s="7"/>
      <c r="BL404" s="1"/>
      <c r="BM404" s="1"/>
    </row>
    <row r="405" spans="62:65" ht="15.75" customHeight="1" x14ac:dyDescent="0.25">
      <c r="BJ405" s="6"/>
      <c r="BK405" s="7"/>
      <c r="BL405" s="1"/>
      <c r="BM405" s="1"/>
    </row>
    <row r="406" spans="62:65" ht="15.75" customHeight="1" x14ac:dyDescent="0.25">
      <c r="BJ406" s="6"/>
      <c r="BK406" s="7"/>
      <c r="BL406" s="1"/>
      <c r="BM406" s="1"/>
    </row>
    <row r="407" spans="62:65" ht="15.75" customHeight="1" x14ac:dyDescent="0.25">
      <c r="BJ407" s="6"/>
      <c r="BK407" s="7"/>
      <c r="BL407" s="1"/>
      <c r="BM407" s="1"/>
    </row>
    <row r="408" spans="62:65" ht="15.75" customHeight="1" x14ac:dyDescent="0.25">
      <c r="BJ408" s="6"/>
      <c r="BK408" s="7"/>
      <c r="BL408" s="1"/>
      <c r="BM408" s="1"/>
    </row>
    <row r="409" spans="62:65" ht="15.75" customHeight="1" x14ac:dyDescent="0.25">
      <c r="BJ409" s="6"/>
      <c r="BK409" s="7"/>
      <c r="BL409" s="1"/>
      <c r="BM409" s="1"/>
    </row>
    <row r="410" spans="62:65" ht="15.75" customHeight="1" x14ac:dyDescent="0.25">
      <c r="BJ410" s="6"/>
      <c r="BK410" s="7"/>
      <c r="BL410" s="1"/>
      <c r="BM410" s="1"/>
    </row>
    <row r="411" spans="62:65" ht="15.75" customHeight="1" x14ac:dyDescent="0.25">
      <c r="BJ411" s="6"/>
      <c r="BK411" s="7"/>
      <c r="BL411" s="1"/>
      <c r="BM411" s="1"/>
    </row>
    <row r="412" spans="62:65" ht="15.75" customHeight="1" x14ac:dyDescent="0.25">
      <c r="BJ412" s="6"/>
      <c r="BK412" s="7"/>
      <c r="BL412" s="1"/>
      <c r="BM412" s="1"/>
    </row>
    <row r="413" spans="62:65" ht="15.75" customHeight="1" x14ac:dyDescent="0.25">
      <c r="BJ413" s="6"/>
      <c r="BK413" s="7"/>
      <c r="BL413" s="1"/>
      <c r="BM413" s="1"/>
    </row>
    <row r="414" spans="62:65" ht="15.75" customHeight="1" x14ac:dyDescent="0.25">
      <c r="BJ414" s="6"/>
      <c r="BK414" s="7"/>
      <c r="BL414" s="1"/>
      <c r="BM414" s="1"/>
    </row>
    <row r="415" spans="62:65" ht="15.75" customHeight="1" x14ac:dyDescent="0.25">
      <c r="BJ415" s="6"/>
      <c r="BK415" s="7"/>
      <c r="BL415" s="1"/>
      <c r="BM415" s="1"/>
    </row>
    <row r="416" spans="62:65" ht="15.75" customHeight="1" x14ac:dyDescent="0.25">
      <c r="BJ416" s="6"/>
      <c r="BK416" s="7"/>
      <c r="BL416" s="1"/>
      <c r="BM416" s="1"/>
    </row>
    <row r="417" spans="62:65" ht="15.75" customHeight="1" x14ac:dyDescent="0.25">
      <c r="BJ417" s="6"/>
      <c r="BK417" s="7"/>
      <c r="BL417" s="1"/>
      <c r="BM417" s="1"/>
    </row>
    <row r="418" spans="62:65" ht="15.75" customHeight="1" x14ac:dyDescent="0.25">
      <c r="BJ418" s="6"/>
      <c r="BK418" s="7"/>
      <c r="BL418" s="1"/>
      <c r="BM418" s="1"/>
    </row>
    <row r="419" spans="62:65" ht="15.75" customHeight="1" x14ac:dyDescent="0.25">
      <c r="BJ419" s="6"/>
      <c r="BK419" s="7"/>
      <c r="BL419" s="1"/>
      <c r="BM419" s="1"/>
    </row>
    <row r="420" spans="62:65" ht="15.75" customHeight="1" x14ac:dyDescent="0.25">
      <c r="BJ420" s="6"/>
      <c r="BK420" s="7"/>
      <c r="BL420" s="1"/>
      <c r="BM420" s="1"/>
    </row>
    <row r="421" spans="62:65" ht="15.75" customHeight="1" x14ac:dyDescent="0.25">
      <c r="BJ421" s="6"/>
      <c r="BK421" s="7"/>
      <c r="BL421" s="1"/>
      <c r="BM421" s="1"/>
    </row>
    <row r="422" spans="62:65" ht="15.75" customHeight="1" x14ac:dyDescent="0.25">
      <c r="BJ422" s="6"/>
      <c r="BK422" s="7"/>
      <c r="BL422" s="1"/>
      <c r="BM422" s="1"/>
    </row>
    <row r="423" spans="62:65" ht="15.75" customHeight="1" x14ac:dyDescent="0.25">
      <c r="BJ423" s="6"/>
      <c r="BK423" s="7"/>
      <c r="BL423" s="1"/>
      <c r="BM423" s="1"/>
    </row>
    <row r="424" spans="62:65" ht="15.75" customHeight="1" x14ac:dyDescent="0.25">
      <c r="BJ424" s="6"/>
      <c r="BK424" s="7"/>
      <c r="BL424" s="1"/>
      <c r="BM424" s="1"/>
    </row>
    <row r="425" spans="62:65" ht="15.75" customHeight="1" x14ac:dyDescent="0.25">
      <c r="BJ425" s="6"/>
      <c r="BK425" s="7"/>
      <c r="BL425" s="1"/>
      <c r="BM425" s="1"/>
    </row>
    <row r="426" spans="62:65" ht="15.75" customHeight="1" x14ac:dyDescent="0.25">
      <c r="BJ426" s="6"/>
      <c r="BK426" s="7"/>
      <c r="BL426" s="1"/>
      <c r="BM426" s="1"/>
    </row>
    <row r="427" spans="62:65" ht="15.75" customHeight="1" x14ac:dyDescent="0.25">
      <c r="BJ427" s="6"/>
      <c r="BK427" s="7"/>
      <c r="BL427" s="1"/>
      <c r="BM427" s="1"/>
    </row>
    <row r="428" spans="62:65" ht="15.75" customHeight="1" x14ac:dyDescent="0.25">
      <c r="BJ428" s="6"/>
      <c r="BK428" s="7"/>
      <c r="BL428" s="1"/>
      <c r="BM428" s="1"/>
    </row>
    <row r="429" spans="62:65" ht="15.75" customHeight="1" x14ac:dyDescent="0.25">
      <c r="BJ429" s="6"/>
      <c r="BK429" s="7"/>
      <c r="BL429" s="1"/>
      <c r="BM429" s="1"/>
    </row>
    <row r="430" spans="62:65" ht="15.75" customHeight="1" x14ac:dyDescent="0.25">
      <c r="BJ430" s="6"/>
      <c r="BK430" s="7"/>
      <c r="BL430" s="1"/>
      <c r="BM430" s="1"/>
    </row>
    <row r="431" spans="62:65" ht="15.75" customHeight="1" x14ac:dyDescent="0.25">
      <c r="BJ431" s="6"/>
      <c r="BK431" s="7"/>
      <c r="BL431" s="1"/>
      <c r="BM431" s="1"/>
    </row>
    <row r="432" spans="62:65" ht="15.75" customHeight="1" x14ac:dyDescent="0.25">
      <c r="BJ432" s="6"/>
      <c r="BK432" s="7"/>
      <c r="BL432" s="1"/>
      <c r="BM432" s="1"/>
    </row>
    <row r="433" spans="62:65" ht="15.75" customHeight="1" x14ac:dyDescent="0.25">
      <c r="BJ433" s="6"/>
      <c r="BK433" s="7"/>
      <c r="BL433" s="1"/>
      <c r="BM433" s="1"/>
    </row>
    <row r="434" spans="62:65" ht="15.75" customHeight="1" x14ac:dyDescent="0.25">
      <c r="BJ434" s="6"/>
      <c r="BK434" s="7"/>
      <c r="BL434" s="1"/>
      <c r="BM434" s="1"/>
    </row>
    <row r="435" spans="62:65" ht="15.75" customHeight="1" x14ac:dyDescent="0.25">
      <c r="BJ435" s="6"/>
      <c r="BK435" s="7"/>
      <c r="BL435" s="1"/>
      <c r="BM435" s="1"/>
    </row>
    <row r="436" spans="62:65" ht="15.75" customHeight="1" x14ac:dyDescent="0.25">
      <c r="BJ436" s="6"/>
      <c r="BK436" s="7"/>
      <c r="BL436" s="1"/>
      <c r="BM436" s="1"/>
    </row>
    <row r="437" spans="62:65" ht="15.75" customHeight="1" x14ac:dyDescent="0.25">
      <c r="BJ437" s="6"/>
      <c r="BK437" s="7"/>
      <c r="BL437" s="1"/>
      <c r="BM437" s="1"/>
    </row>
    <row r="438" spans="62:65" ht="15.75" customHeight="1" x14ac:dyDescent="0.25">
      <c r="BJ438" s="6"/>
      <c r="BK438" s="7"/>
      <c r="BL438" s="1"/>
      <c r="BM438" s="1"/>
    </row>
    <row r="439" spans="62:65" ht="15.75" customHeight="1" x14ac:dyDescent="0.25">
      <c r="BJ439" s="6"/>
      <c r="BK439" s="7"/>
      <c r="BL439" s="1"/>
      <c r="BM439" s="1"/>
    </row>
    <row r="440" spans="62:65" ht="15.75" customHeight="1" x14ac:dyDescent="0.25">
      <c r="BJ440" s="6"/>
      <c r="BK440" s="7"/>
      <c r="BL440" s="1"/>
      <c r="BM440" s="1"/>
    </row>
    <row r="441" spans="62:65" ht="15.75" customHeight="1" x14ac:dyDescent="0.25">
      <c r="BJ441" s="6"/>
      <c r="BK441" s="7"/>
      <c r="BL441" s="1"/>
      <c r="BM441" s="1"/>
    </row>
    <row r="442" spans="62:65" ht="15.75" customHeight="1" x14ac:dyDescent="0.25">
      <c r="BJ442" s="6"/>
      <c r="BK442" s="7"/>
      <c r="BL442" s="1"/>
      <c r="BM442" s="1"/>
    </row>
    <row r="443" spans="62:65" ht="15.75" customHeight="1" x14ac:dyDescent="0.25">
      <c r="BJ443" s="6"/>
      <c r="BK443" s="7"/>
      <c r="BL443" s="1"/>
      <c r="BM443" s="1"/>
    </row>
    <row r="444" spans="62:65" ht="15.75" customHeight="1" x14ac:dyDescent="0.25">
      <c r="BJ444" s="6"/>
      <c r="BK444" s="7"/>
      <c r="BL444" s="1"/>
      <c r="BM444" s="1"/>
    </row>
    <row r="445" spans="62:65" ht="15.75" customHeight="1" x14ac:dyDescent="0.25">
      <c r="BJ445" s="6"/>
      <c r="BK445" s="7"/>
      <c r="BL445" s="1"/>
      <c r="BM445" s="1"/>
    </row>
    <row r="446" spans="62:65" ht="15.75" customHeight="1" x14ac:dyDescent="0.25">
      <c r="BJ446" s="6"/>
      <c r="BK446" s="7"/>
      <c r="BL446" s="1"/>
      <c r="BM446" s="1"/>
    </row>
    <row r="447" spans="62:65" ht="15.75" customHeight="1" x14ac:dyDescent="0.25">
      <c r="BJ447" s="6"/>
      <c r="BK447" s="7"/>
      <c r="BL447" s="1"/>
      <c r="BM447" s="1"/>
    </row>
    <row r="448" spans="62:65" ht="15.75" customHeight="1" x14ac:dyDescent="0.25">
      <c r="BJ448" s="6"/>
      <c r="BK448" s="7"/>
      <c r="BL448" s="1"/>
      <c r="BM448" s="1"/>
    </row>
    <row r="449" spans="62:65" ht="15.75" customHeight="1" x14ac:dyDescent="0.25">
      <c r="BJ449" s="6"/>
      <c r="BK449" s="7"/>
      <c r="BL449" s="1"/>
      <c r="BM449" s="1"/>
    </row>
    <row r="450" spans="62:65" ht="15.75" customHeight="1" x14ac:dyDescent="0.25">
      <c r="BJ450" s="6"/>
      <c r="BK450" s="7"/>
      <c r="BL450" s="1"/>
      <c r="BM450" s="1"/>
    </row>
    <row r="451" spans="62:65" ht="15.75" customHeight="1" x14ac:dyDescent="0.25">
      <c r="BJ451" s="6"/>
      <c r="BK451" s="7"/>
      <c r="BL451" s="1"/>
      <c r="BM451" s="1"/>
    </row>
    <row r="452" spans="62:65" ht="15.75" customHeight="1" x14ac:dyDescent="0.25">
      <c r="BJ452" s="6"/>
      <c r="BK452" s="7"/>
      <c r="BL452" s="1"/>
      <c r="BM452" s="1"/>
    </row>
    <row r="453" spans="62:65" ht="15.75" customHeight="1" x14ac:dyDescent="0.25">
      <c r="BJ453" s="6"/>
      <c r="BK453" s="7"/>
      <c r="BL453" s="1"/>
      <c r="BM453" s="1"/>
    </row>
    <row r="454" spans="62:65" ht="15.75" customHeight="1" x14ac:dyDescent="0.25">
      <c r="BJ454" s="6"/>
      <c r="BK454" s="7"/>
      <c r="BL454" s="1"/>
      <c r="BM454" s="1"/>
    </row>
    <row r="455" spans="62:65" ht="15.75" customHeight="1" x14ac:dyDescent="0.25">
      <c r="BJ455" s="6"/>
      <c r="BK455" s="7"/>
      <c r="BL455" s="1"/>
      <c r="BM455" s="1"/>
    </row>
    <row r="456" spans="62:65" ht="15.75" customHeight="1" x14ac:dyDescent="0.25">
      <c r="BJ456" s="6"/>
      <c r="BK456" s="7"/>
      <c r="BL456" s="1"/>
      <c r="BM456" s="1"/>
    </row>
    <row r="457" spans="62:65" ht="15.75" customHeight="1" x14ac:dyDescent="0.25">
      <c r="BJ457" s="6"/>
      <c r="BK457" s="7"/>
      <c r="BL457" s="1"/>
      <c r="BM457" s="1"/>
    </row>
    <row r="458" spans="62:65" ht="15.75" customHeight="1" x14ac:dyDescent="0.25">
      <c r="BJ458" s="6"/>
      <c r="BK458" s="7"/>
      <c r="BL458" s="1"/>
      <c r="BM458" s="1"/>
    </row>
    <row r="459" spans="62:65" ht="15.75" customHeight="1" x14ac:dyDescent="0.25">
      <c r="BJ459" s="6"/>
      <c r="BK459" s="7"/>
      <c r="BL459" s="1"/>
      <c r="BM459" s="1"/>
    </row>
    <row r="460" spans="62:65" ht="15.75" customHeight="1" x14ac:dyDescent="0.25">
      <c r="BJ460" s="6"/>
      <c r="BK460" s="7"/>
      <c r="BL460" s="1"/>
      <c r="BM460" s="1"/>
    </row>
    <row r="461" spans="62:65" ht="15.75" customHeight="1" x14ac:dyDescent="0.25">
      <c r="BJ461" s="6"/>
      <c r="BK461" s="7"/>
      <c r="BL461" s="1"/>
      <c r="BM461" s="1"/>
    </row>
    <row r="462" spans="62:65" ht="15.75" customHeight="1" x14ac:dyDescent="0.25">
      <c r="BJ462" s="6"/>
      <c r="BK462" s="7"/>
      <c r="BL462" s="1"/>
      <c r="BM462" s="1"/>
    </row>
    <row r="463" spans="62:65" ht="15.75" customHeight="1" x14ac:dyDescent="0.25">
      <c r="BJ463" s="6"/>
      <c r="BK463" s="7"/>
      <c r="BL463" s="1"/>
      <c r="BM463" s="1"/>
    </row>
    <row r="464" spans="62:65" ht="15.75" customHeight="1" x14ac:dyDescent="0.25">
      <c r="BJ464" s="6"/>
      <c r="BK464" s="7"/>
      <c r="BL464" s="1"/>
      <c r="BM464" s="1"/>
    </row>
    <row r="465" spans="62:65" ht="15.75" customHeight="1" x14ac:dyDescent="0.25">
      <c r="BJ465" s="6"/>
      <c r="BK465" s="7"/>
      <c r="BL465" s="1"/>
      <c r="BM465" s="1"/>
    </row>
    <row r="466" spans="62:65" ht="15.75" customHeight="1" x14ac:dyDescent="0.25">
      <c r="BJ466" s="6"/>
      <c r="BK466" s="7"/>
      <c r="BL466" s="1"/>
      <c r="BM466" s="1"/>
    </row>
    <row r="467" spans="62:65" ht="15.75" customHeight="1" x14ac:dyDescent="0.25">
      <c r="BJ467" s="6"/>
      <c r="BK467" s="7"/>
      <c r="BL467" s="1"/>
      <c r="BM467" s="1"/>
    </row>
    <row r="468" spans="62:65" ht="15.75" customHeight="1" x14ac:dyDescent="0.25">
      <c r="BJ468" s="6"/>
      <c r="BK468" s="7"/>
      <c r="BL468" s="1"/>
      <c r="BM468" s="1"/>
    </row>
    <row r="469" spans="62:65" ht="15.75" customHeight="1" x14ac:dyDescent="0.25">
      <c r="BJ469" s="6"/>
      <c r="BK469" s="7"/>
      <c r="BL469" s="1"/>
      <c r="BM469" s="1"/>
    </row>
    <row r="470" spans="62:65" ht="15.75" customHeight="1" x14ac:dyDescent="0.25">
      <c r="BJ470" s="6"/>
      <c r="BK470" s="7"/>
      <c r="BL470" s="1"/>
      <c r="BM470" s="1"/>
    </row>
    <row r="471" spans="62:65" ht="15.75" customHeight="1" x14ac:dyDescent="0.25">
      <c r="BJ471" s="6"/>
      <c r="BK471" s="7"/>
      <c r="BL471" s="1"/>
      <c r="BM471" s="1"/>
    </row>
    <row r="472" spans="62:65" ht="15.75" customHeight="1" x14ac:dyDescent="0.25">
      <c r="BJ472" s="6"/>
      <c r="BK472" s="7"/>
      <c r="BL472" s="1"/>
      <c r="BM472" s="1"/>
    </row>
    <row r="473" spans="62:65" ht="15.75" customHeight="1" x14ac:dyDescent="0.25">
      <c r="BJ473" s="6"/>
      <c r="BK473" s="7"/>
      <c r="BL473" s="1"/>
      <c r="BM473" s="1"/>
    </row>
    <row r="474" spans="62:65" ht="15.75" customHeight="1" x14ac:dyDescent="0.25">
      <c r="BJ474" s="6"/>
      <c r="BK474" s="7"/>
      <c r="BL474" s="1"/>
      <c r="BM474" s="1"/>
    </row>
    <row r="475" spans="62:65" ht="15.75" customHeight="1" x14ac:dyDescent="0.25">
      <c r="BJ475" s="6"/>
      <c r="BK475" s="7"/>
      <c r="BL475" s="1"/>
      <c r="BM475" s="1"/>
    </row>
    <row r="476" spans="62:65" ht="15.75" customHeight="1" x14ac:dyDescent="0.25">
      <c r="BJ476" s="6"/>
      <c r="BK476" s="7"/>
      <c r="BL476" s="1"/>
      <c r="BM476" s="1"/>
    </row>
    <row r="477" spans="62:65" ht="15.75" customHeight="1" x14ac:dyDescent="0.25">
      <c r="BJ477" s="6"/>
      <c r="BK477" s="7"/>
      <c r="BL477" s="1"/>
      <c r="BM477" s="1"/>
    </row>
    <row r="478" spans="62:65" ht="15.75" customHeight="1" x14ac:dyDescent="0.25">
      <c r="BJ478" s="6"/>
      <c r="BK478" s="7"/>
      <c r="BL478" s="1"/>
      <c r="BM478" s="1"/>
    </row>
    <row r="479" spans="62:65" ht="15.75" customHeight="1" x14ac:dyDescent="0.25">
      <c r="BJ479" s="6"/>
      <c r="BK479" s="7"/>
      <c r="BL479" s="1"/>
      <c r="BM479" s="1"/>
    </row>
    <row r="480" spans="62:65" ht="15.75" customHeight="1" x14ac:dyDescent="0.25">
      <c r="BJ480" s="6"/>
      <c r="BK480" s="7"/>
      <c r="BL480" s="1"/>
      <c r="BM480" s="1"/>
    </row>
    <row r="481" spans="62:65" ht="15.75" customHeight="1" x14ac:dyDescent="0.25">
      <c r="BJ481" s="6"/>
      <c r="BK481" s="7"/>
      <c r="BL481" s="1"/>
      <c r="BM481" s="1"/>
    </row>
    <row r="482" spans="62:65" ht="15.75" customHeight="1" x14ac:dyDescent="0.25">
      <c r="BJ482" s="6"/>
      <c r="BK482" s="7"/>
      <c r="BL482" s="1"/>
      <c r="BM482" s="1"/>
    </row>
    <row r="483" spans="62:65" ht="15.75" customHeight="1" x14ac:dyDescent="0.25">
      <c r="BJ483" s="6"/>
      <c r="BK483" s="7"/>
      <c r="BL483" s="1"/>
      <c r="BM483" s="1"/>
    </row>
    <row r="484" spans="62:65" ht="15.75" customHeight="1" x14ac:dyDescent="0.25">
      <c r="BJ484" s="6"/>
      <c r="BK484" s="7"/>
      <c r="BL484" s="1"/>
      <c r="BM484" s="1"/>
    </row>
    <row r="485" spans="62:65" ht="15.75" customHeight="1" x14ac:dyDescent="0.25">
      <c r="BJ485" s="6"/>
      <c r="BK485" s="7"/>
      <c r="BL485" s="1"/>
      <c r="BM485" s="1"/>
    </row>
    <row r="486" spans="62:65" ht="15.75" customHeight="1" x14ac:dyDescent="0.25">
      <c r="BJ486" s="6"/>
      <c r="BK486" s="7"/>
      <c r="BL486" s="1"/>
      <c r="BM486" s="1"/>
    </row>
    <row r="487" spans="62:65" ht="15.75" customHeight="1" x14ac:dyDescent="0.25">
      <c r="BJ487" s="6"/>
      <c r="BK487" s="7"/>
      <c r="BL487" s="1"/>
      <c r="BM487" s="1"/>
    </row>
    <row r="488" spans="62:65" ht="15.75" customHeight="1" x14ac:dyDescent="0.25">
      <c r="BJ488" s="6"/>
      <c r="BK488" s="7"/>
      <c r="BL488" s="1"/>
      <c r="BM488" s="1"/>
    </row>
    <row r="489" spans="62:65" ht="15.75" customHeight="1" x14ac:dyDescent="0.25">
      <c r="BJ489" s="6"/>
      <c r="BK489" s="7"/>
      <c r="BL489" s="1"/>
      <c r="BM489" s="1"/>
    </row>
    <row r="490" spans="62:65" ht="15.75" customHeight="1" x14ac:dyDescent="0.25">
      <c r="BJ490" s="6"/>
      <c r="BK490" s="7"/>
      <c r="BL490" s="1"/>
      <c r="BM490" s="1"/>
    </row>
    <row r="491" spans="62:65" ht="15.75" customHeight="1" x14ac:dyDescent="0.25">
      <c r="BJ491" s="6"/>
      <c r="BK491" s="7"/>
      <c r="BL491" s="1"/>
      <c r="BM491" s="1"/>
    </row>
    <row r="492" spans="62:65" ht="15.75" customHeight="1" x14ac:dyDescent="0.25">
      <c r="BJ492" s="6"/>
      <c r="BK492" s="7"/>
      <c r="BL492" s="1"/>
      <c r="BM492" s="1"/>
    </row>
    <row r="493" spans="62:65" ht="15.75" customHeight="1" x14ac:dyDescent="0.25">
      <c r="BJ493" s="6"/>
      <c r="BK493" s="7"/>
      <c r="BL493" s="1"/>
      <c r="BM493" s="1"/>
    </row>
    <row r="494" spans="62:65" ht="15.75" customHeight="1" x14ac:dyDescent="0.25">
      <c r="BJ494" s="6"/>
      <c r="BK494" s="7"/>
      <c r="BL494" s="1"/>
      <c r="BM494" s="1"/>
    </row>
    <row r="495" spans="62:65" ht="15.75" customHeight="1" x14ac:dyDescent="0.25">
      <c r="BJ495" s="6"/>
      <c r="BK495" s="7"/>
      <c r="BL495" s="1"/>
      <c r="BM495" s="1"/>
    </row>
    <row r="496" spans="62:65" ht="15.75" customHeight="1" x14ac:dyDescent="0.25">
      <c r="BJ496" s="6"/>
      <c r="BK496" s="7"/>
      <c r="BL496" s="1"/>
      <c r="BM496" s="1"/>
    </row>
    <row r="497" spans="62:65" ht="15.75" customHeight="1" x14ac:dyDescent="0.25">
      <c r="BJ497" s="6"/>
      <c r="BK497" s="7"/>
      <c r="BL497" s="1"/>
      <c r="BM497" s="1"/>
    </row>
    <row r="498" spans="62:65" ht="15.75" customHeight="1" x14ac:dyDescent="0.25">
      <c r="BJ498" s="6"/>
      <c r="BK498" s="7"/>
      <c r="BL498" s="1"/>
      <c r="BM498" s="1"/>
    </row>
    <row r="499" spans="62:65" ht="15.75" customHeight="1" x14ac:dyDescent="0.25">
      <c r="BJ499" s="6"/>
      <c r="BK499" s="7"/>
      <c r="BL499" s="1"/>
      <c r="BM499" s="1"/>
    </row>
    <row r="500" spans="62:65" ht="15.75" customHeight="1" x14ac:dyDescent="0.25">
      <c r="BJ500" s="6"/>
      <c r="BK500" s="7"/>
      <c r="BL500" s="1"/>
      <c r="BM500" s="1"/>
    </row>
    <row r="501" spans="62:65" ht="15.75" customHeight="1" x14ac:dyDescent="0.25">
      <c r="BJ501" s="6"/>
      <c r="BK501" s="7"/>
      <c r="BL501" s="1"/>
      <c r="BM501" s="1"/>
    </row>
    <row r="502" spans="62:65" ht="15.75" customHeight="1" x14ac:dyDescent="0.25">
      <c r="BJ502" s="6"/>
      <c r="BK502" s="7"/>
      <c r="BL502" s="1"/>
      <c r="BM502" s="1"/>
    </row>
    <row r="503" spans="62:65" ht="15.75" customHeight="1" x14ac:dyDescent="0.25">
      <c r="BJ503" s="6"/>
      <c r="BK503" s="7"/>
      <c r="BL503" s="1"/>
      <c r="BM503" s="1"/>
    </row>
    <row r="504" spans="62:65" ht="15.75" customHeight="1" x14ac:dyDescent="0.25">
      <c r="BJ504" s="6"/>
      <c r="BK504" s="7"/>
      <c r="BL504" s="1"/>
      <c r="BM504" s="1"/>
    </row>
    <row r="505" spans="62:65" ht="15.75" customHeight="1" x14ac:dyDescent="0.25">
      <c r="BJ505" s="6"/>
      <c r="BK505" s="7"/>
      <c r="BL505" s="1"/>
      <c r="BM505" s="1"/>
    </row>
    <row r="506" spans="62:65" ht="15.75" customHeight="1" x14ac:dyDescent="0.25">
      <c r="BJ506" s="6"/>
      <c r="BK506" s="7"/>
      <c r="BL506" s="1"/>
      <c r="BM506" s="1"/>
    </row>
    <row r="507" spans="62:65" ht="15.75" customHeight="1" x14ac:dyDescent="0.25">
      <c r="BJ507" s="6"/>
      <c r="BK507" s="7"/>
      <c r="BL507" s="1"/>
      <c r="BM507" s="1"/>
    </row>
    <row r="508" spans="62:65" ht="15.75" customHeight="1" x14ac:dyDescent="0.25">
      <c r="BJ508" s="6"/>
      <c r="BK508" s="7"/>
      <c r="BL508" s="1"/>
      <c r="BM508" s="1"/>
    </row>
    <row r="509" spans="62:65" ht="15.75" customHeight="1" x14ac:dyDescent="0.25">
      <c r="BJ509" s="6"/>
      <c r="BK509" s="7"/>
      <c r="BL509" s="1"/>
      <c r="BM509" s="1"/>
    </row>
    <row r="510" spans="62:65" ht="15.75" customHeight="1" x14ac:dyDescent="0.25">
      <c r="BJ510" s="6"/>
      <c r="BK510" s="7"/>
      <c r="BL510" s="1"/>
      <c r="BM510" s="1"/>
    </row>
    <row r="511" spans="62:65" ht="15.75" customHeight="1" x14ac:dyDescent="0.25">
      <c r="BJ511" s="6"/>
      <c r="BK511" s="7"/>
      <c r="BL511" s="1"/>
      <c r="BM511" s="1"/>
    </row>
    <row r="512" spans="62:65" ht="15.75" customHeight="1" x14ac:dyDescent="0.25">
      <c r="BJ512" s="6"/>
      <c r="BK512" s="7"/>
      <c r="BL512" s="1"/>
      <c r="BM512" s="1"/>
    </row>
    <row r="513" spans="62:65" ht="15.75" customHeight="1" x14ac:dyDescent="0.25">
      <c r="BJ513" s="6"/>
      <c r="BK513" s="7"/>
      <c r="BL513" s="1"/>
      <c r="BM513" s="1"/>
    </row>
    <row r="514" spans="62:65" ht="15.75" customHeight="1" x14ac:dyDescent="0.25">
      <c r="BJ514" s="6"/>
      <c r="BK514" s="7"/>
      <c r="BL514" s="1"/>
      <c r="BM514" s="1"/>
    </row>
    <row r="515" spans="62:65" ht="15.75" customHeight="1" x14ac:dyDescent="0.25">
      <c r="BJ515" s="6"/>
      <c r="BK515" s="7"/>
      <c r="BL515" s="1"/>
      <c r="BM515" s="1"/>
    </row>
    <row r="516" spans="62:65" ht="15.75" customHeight="1" x14ac:dyDescent="0.25">
      <c r="BJ516" s="6"/>
      <c r="BK516" s="7"/>
      <c r="BL516" s="1"/>
      <c r="BM516" s="1"/>
    </row>
    <row r="517" spans="62:65" ht="15.75" customHeight="1" x14ac:dyDescent="0.25">
      <c r="BJ517" s="6"/>
      <c r="BK517" s="7"/>
      <c r="BL517" s="1"/>
      <c r="BM517" s="1"/>
    </row>
    <row r="518" spans="62:65" ht="15.75" customHeight="1" x14ac:dyDescent="0.25">
      <c r="BJ518" s="6"/>
      <c r="BK518" s="7"/>
      <c r="BL518" s="1"/>
      <c r="BM518" s="1"/>
    </row>
    <row r="519" spans="62:65" ht="15.75" customHeight="1" x14ac:dyDescent="0.25">
      <c r="BJ519" s="6"/>
      <c r="BK519" s="7"/>
      <c r="BL519" s="1"/>
      <c r="BM519" s="1"/>
    </row>
    <row r="520" spans="62:65" ht="15.75" customHeight="1" x14ac:dyDescent="0.25">
      <c r="BJ520" s="6"/>
      <c r="BK520" s="7"/>
      <c r="BL520" s="1"/>
      <c r="BM520" s="1"/>
    </row>
    <row r="521" spans="62:65" ht="15.75" customHeight="1" x14ac:dyDescent="0.25">
      <c r="BJ521" s="6"/>
      <c r="BK521" s="7"/>
      <c r="BL521" s="1"/>
      <c r="BM521" s="1"/>
    </row>
    <row r="522" spans="62:65" ht="15.75" customHeight="1" x14ac:dyDescent="0.25">
      <c r="BJ522" s="6"/>
      <c r="BK522" s="7"/>
      <c r="BL522" s="1"/>
      <c r="BM522" s="1"/>
    </row>
    <row r="523" spans="62:65" ht="15.75" customHeight="1" x14ac:dyDescent="0.25">
      <c r="BJ523" s="6"/>
      <c r="BK523" s="7"/>
      <c r="BL523" s="1"/>
      <c r="BM523" s="1"/>
    </row>
    <row r="524" spans="62:65" ht="15.75" customHeight="1" x14ac:dyDescent="0.25">
      <c r="BJ524" s="6"/>
      <c r="BK524" s="7"/>
      <c r="BL524" s="1"/>
      <c r="BM524" s="1"/>
    </row>
    <row r="525" spans="62:65" ht="15.75" customHeight="1" x14ac:dyDescent="0.25">
      <c r="BJ525" s="6"/>
      <c r="BK525" s="7"/>
      <c r="BL525" s="1"/>
      <c r="BM525" s="1"/>
    </row>
    <row r="526" spans="62:65" ht="15.75" customHeight="1" x14ac:dyDescent="0.25">
      <c r="BJ526" s="6"/>
      <c r="BK526" s="7"/>
      <c r="BL526" s="1"/>
      <c r="BM526" s="1"/>
    </row>
    <row r="527" spans="62:65" ht="15.75" customHeight="1" x14ac:dyDescent="0.25">
      <c r="BJ527" s="6"/>
      <c r="BK527" s="7"/>
      <c r="BL527" s="1"/>
      <c r="BM527" s="1"/>
    </row>
    <row r="528" spans="62:65" ht="15.75" customHeight="1" x14ac:dyDescent="0.25">
      <c r="BJ528" s="6"/>
      <c r="BK528" s="7"/>
      <c r="BL528" s="1"/>
      <c r="BM528" s="1"/>
    </row>
    <row r="529" spans="62:65" ht="15.75" customHeight="1" x14ac:dyDescent="0.25">
      <c r="BJ529" s="6"/>
      <c r="BK529" s="7"/>
      <c r="BL529" s="1"/>
      <c r="BM529" s="1"/>
    </row>
    <row r="530" spans="62:65" ht="15.75" customHeight="1" x14ac:dyDescent="0.25">
      <c r="BJ530" s="6"/>
      <c r="BK530" s="7"/>
      <c r="BL530" s="1"/>
      <c r="BM530" s="1"/>
    </row>
    <row r="531" spans="62:65" ht="15.75" customHeight="1" x14ac:dyDescent="0.25">
      <c r="BJ531" s="6"/>
      <c r="BK531" s="7"/>
      <c r="BL531" s="1"/>
      <c r="BM531" s="1"/>
    </row>
    <row r="532" spans="62:65" ht="15.75" customHeight="1" x14ac:dyDescent="0.25">
      <c r="BJ532" s="6"/>
      <c r="BK532" s="7"/>
      <c r="BL532" s="1"/>
      <c r="BM532" s="1"/>
    </row>
    <row r="533" spans="62:65" ht="15.75" customHeight="1" x14ac:dyDescent="0.25">
      <c r="BJ533" s="6"/>
      <c r="BK533" s="7"/>
      <c r="BL533" s="1"/>
      <c r="BM533" s="1"/>
    </row>
    <row r="534" spans="62:65" ht="15.75" customHeight="1" x14ac:dyDescent="0.25">
      <c r="BJ534" s="6"/>
      <c r="BK534" s="7"/>
      <c r="BL534" s="1"/>
      <c r="BM534" s="1"/>
    </row>
    <row r="535" spans="62:65" ht="15.75" customHeight="1" x14ac:dyDescent="0.25">
      <c r="BJ535" s="6"/>
      <c r="BK535" s="7"/>
      <c r="BL535" s="1"/>
      <c r="BM535" s="1"/>
    </row>
    <row r="536" spans="62:65" ht="15.75" customHeight="1" x14ac:dyDescent="0.25">
      <c r="BJ536" s="6"/>
      <c r="BK536" s="7"/>
      <c r="BL536" s="1"/>
      <c r="BM536" s="1"/>
    </row>
    <row r="537" spans="62:65" ht="15.75" customHeight="1" x14ac:dyDescent="0.25">
      <c r="BJ537" s="6"/>
      <c r="BK537" s="7"/>
      <c r="BL537" s="1"/>
      <c r="BM537" s="1"/>
    </row>
    <row r="538" spans="62:65" ht="15.75" customHeight="1" x14ac:dyDescent="0.25">
      <c r="BJ538" s="6"/>
      <c r="BK538" s="7"/>
      <c r="BL538" s="1"/>
      <c r="BM538" s="1"/>
    </row>
    <row r="539" spans="62:65" ht="15.75" customHeight="1" x14ac:dyDescent="0.25">
      <c r="BJ539" s="6"/>
      <c r="BK539" s="7"/>
      <c r="BL539" s="1"/>
      <c r="BM539" s="1"/>
    </row>
    <row r="540" spans="62:65" ht="15.75" customHeight="1" x14ac:dyDescent="0.25">
      <c r="BJ540" s="6"/>
      <c r="BK540" s="7"/>
      <c r="BL540" s="1"/>
      <c r="BM540" s="1"/>
    </row>
    <row r="541" spans="62:65" ht="15.75" customHeight="1" x14ac:dyDescent="0.25">
      <c r="BJ541" s="6"/>
      <c r="BK541" s="7"/>
      <c r="BL541" s="1"/>
      <c r="BM541" s="1"/>
    </row>
    <row r="542" spans="62:65" ht="15.75" customHeight="1" x14ac:dyDescent="0.25">
      <c r="BJ542" s="6"/>
      <c r="BK542" s="7"/>
      <c r="BL542" s="1"/>
      <c r="BM542" s="1"/>
    </row>
    <row r="543" spans="62:65" ht="15.75" customHeight="1" x14ac:dyDescent="0.25">
      <c r="BJ543" s="6"/>
      <c r="BK543" s="7"/>
      <c r="BL543" s="1"/>
      <c r="BM543" s="1"/>
    </row>
    <row r="544" spans="62:65" ht="15.75" customHeight="1" x14ac:dyDescent="0.25">
      <c r="BJ544" s="6"/>
      <c r="BK544" s="7"/>
      <c r="BL544" s="1"/>
      <c r="BM544" s="1"/>
    </row>
    <row r="545" spans="62:65" ht="15.75" customHeight="1" x14ac:dyDescent="0.25">
      <c r="BJ545" s="6"/>
      <c r="BK545" s="7"/>
      <c r="BL545" s="1"/>
      <c r="BM545" s="1"/>
    </row>
    <row r="546" spans="62:65" ht="15.75" customHeight="1" x14ac:dyDescent="0.25">
      <c r="BJ546" s="6"/>
      <c r="BK546" s="7"/>
      <c r="BL546" s="1"/>
      <c r="BM546" s="1"/>
    </row>
    <row r="547" spans="62:65" ht="15.75" customHeight="1" x14ac:dyDescent="0.25">
      <c r="BJ547" s="6"/>
      <c r="BK547" s="7"/>
      <c r="BL547" s="1"/>
      <c r="BM547" s="1"/>
    </row>
    <row r="548" spans="62:65" ht="15.75" customHeight="1" x14ac:dyDescent="0.25">
      <c r="BJ548" s="6"/>
      <c r="BK548" s="7"/>
      <c r="BL548" s="1"/>
      <c r="BM548" s="1"/>
    </row>
    <row r="549" spans="62:65" ht="15.75" customHeight="1" x14ac:dyDescent="0.25">
      <c r="BJ549" s="6"/>
      <c r="BK549" s="7"/>
      <c r="BL549" s="1"/>
      <c r="BM549" s="1"/>
    </row>
    <row r="550" spans="62:65" ht="15.75" customHeight="1" x14ac:dyDescent="0.25">
      <c r="BJ550" s="6"/>
      <c r="BK550" s="7"/>
      <c r="BL550" s="1"/>
      <c r="BM550" s="1"/>
    </row>
    <row r="551" spans="62:65" ht="15.75" customHeight="1" x14ac:dyDescent="0.25">
      <c r="BJ551" s="6"/>
      <c r="BK551" s="7"/>
      <c r="BL551" s="1"/>
      <c r="BM551" s="1"/>
    </row>
    <row r="552" spans="62:65" ht="15.75" customHeight="1" x14ac:dyDescent="0.25">
      <c r="BJ552" s="6"/>
      <c r="BK552" s="7"/>
      <c r="BL552" s="1"/>
      <c r="BM552" s="1"/>
    </row>
    <row r="553" spans="62:65" ht="15.75" customHeight="1" x14ac:dyDescent="0.25">
      <c r="BJ553" s="6"/>
      <c r="BK553" s="7"/>
      <c r="BL553" s="1"/>
      <c r="BM553" s="1"/>
    </row>
    <row r="554" spans="62:65" ht="15.75" customHeight="1" x14ac:dyDescent="0.25">
      <c r="BJ554" s="6"/>
      <c r="BK554" s="7"/>
      <c r="BL554" s="1"/>
      <c r="BM554" s="1"/>
    </row>
    <row r="555" spans="62:65" ht="15.75" customHeight="1" x14ac:dyDescent="0.25">
      <c r="BJ555" s="6"/>
      <c r="BK555" s="7"/>
      <c r="BL555" s="1"/>
      <c r="BM555" s="1"/>
    </row>
    <row r="556" spans="62:65" ht="15.75" customHeight="1" x14ac:dyDescent="0.25">
      <c r="BJ556" s="6"/>
      <c r="BK556" s="7"/>
      <c r="BL556" s="1"/>
      <c r="BM556" s="1"/>
    </row>
    <row r="557" spans="62:65" ht="15.75" customHeight="1" x14ac:dyDescent="0.25">
      <c r="BJ557" s="6"/>
      <c r="BK557" s="7"/>
      <c r="BL557" s="1"/>
      <c r="BM557" s="1"/>
    </row>
    <row r="558" spans="62:65" ht="15.75" customHeight="1" x14ac:dyDescent="0.25">
      <c r="BJ558" s="6"/>
      <c r="BK558" s="7"/>
      <c r="BL558" s="1"/>
      <c r="BM558" s="1"/>
    </row>
    <row r="559" spans="62:65" ht="15.75" customHeight="1" x14ac:dyDescent="0.25">
      <c r="BJ559" s="6"/>
      <c r="BK559" s="7"/>
      <c r="BL559" s="1"/>
      <c r="BM559" s="1"/>
    </row>
    <row r="560" spans="62:65" ht="15.75" customHeight="1" x14ac:dyDescent="0.25">
      <c r="BJ560" s="6"/>
      <c r="BK560" s="7"/>
      <c r="BL560" s="1"/>
      <c r="BM560" s="1"/>
    </row>
    <row r="561" spans="62:65" ht="15.75" customHeight="1" x14ac:dyDescent="0.25">
      <c r="BJ561" s="6"/>
      <c r="BK561" s="7"/>
      <c r="BL561" s="1"/>
      <c r="BM561" s="1"/>
    </row>
    <row r="562" spans="62:65" ht="15.75" customHeight="1" x14ac:dyDescent="0.25">
      <c r="BJ562" s="6"/>
      <c r="BK562" s="7"/>
      <c r="BL562" s="1"/>
      <c r="BM562" s="1"/>
    </row>
    <row r="563" spans="62:65" ht="15.75" customHeight="1" x14ac:dyDescent="0.25">
      <c r="BJ563" s="6"/>
      <c r="BK563" s="7"/>
      <c r="BL563" s="1"/>
      <c r="BM563" s="1"/>
    </row>
    <row r="564" spans="62:65" ht="15.75" customHeight="1" x14ac:dyDescent="0.25">
      <c r="BJ564" s="6"/>
      <c r="BK564" s="7"/>
      <c r="BL564" s="1"/>
      <c r="BM564" s="1"/>
    </row>
    <row r="565" spans="62:65" ht="15.75" customHeight="1" x14ac:dyDescent="0.25">
      <c r="BJ565" s="6"/>
      <c r="BK565" s="7"/>
      <c r="BL565" s="1"/>
      <c r="BM565" s="1"/>
    </row>
    <row r="566" spans="62:65" ht="15.75" customHeight="1" x14ac:dyDescent="0.25">
      <c r="BJ566" s="6"/>
      <c r="BK566" s="7"/>
      <c r="BL566" s="1"/>
      <c r="BM566" s="1"/>
    </row>
    <row r="567" spans="62:65" ht="15.75" customHeight="1" x14ac:dyDescent="0.25">
      <c r="BJ567" s="6"/>
      <c r="BK567" s="7"/>
      <c r="BL567" s="1"/>
      <c r="BM567" s="1"/>
    </row>
    <row r="568" spans="62:65" ht="15.75" customHeight="1" x14ac:dyDescent="0.25">
      <c r="BJ568" s="6"/>
      <c r="BK568" s="7"/>
      <c r="BL568" s="1"/>
      <c r="BM568" s="1"/>
    </row>
    <row r="569" spans="62:65" ht="15.75" customHeight="1" x14ac:dyDescent="0.25">
      <c r="BJ569" s="6"/>
      <c r="BK569" s="7"/>
      <c r="BL569" s="1"/>
      <c r="BM569" s="1"/>
    </row>
    <row r="570" spans="62:65" ht="15.75" customHeight="1" x14ac:dyDescent="0.25">
      <c r="BJ570" s="6"/>
      <c r="BK570" s="7"/>
      <c r="BL570" s="1"/>
      <c r="BM570" s="1"/>
    </row>
    <row r="571" spans="62:65" ht="15.75" customHeight="1" x14ac:dyDescent="0.25">
      <c r="BJ571" s="6"/>
      <c r="BK571" s="7"/>
      <c r="BL571" s="1"/>
      <c r="BM571" s="1"/>
    </row>
    <row r="572" spans="62:65" ht="15.75" customHeight="1" x14ac:dyDescent="0.25">
      <c r="BJ572" s="6"/>
      <c r="BK572" s="7"/>
      <c r="BL572" s="1"/>
      <c r="BM572" s="1"/>
    </row>
    <row r="573" spans="62:65" ht="15.75" customHeight="1" x14ac:dyDescent="0.25">
      <c r="BJ573" s="6"/>
      <c r="BK573" s="7"/>
      <c r="BL573" s="1"/>
      <c r="BM573" s="1"/>
    </row>
    <row r="574" spans="62:65" ht="15.75" customHeight="1" x14ac:dyDescent="0.25">
      <c r="BJ574" s="6"/>
      <c r="BK574" s="7"/>
      <c r="BL574" s="1"/>
      <c r="BM574" s="1"/>
    </row>
    <row r="575" spans="62:65" ht="15.75" customHeight="1" x14ac:dyDescent="0.25">
      <c r="BJ575" s="6"/>
      <c r="BK575" s="7"/>
      <c r="BL575" s="1"/>
      <c r="BM575" s="1"/>
    </row>
    <row r="576" spans="62:65" ht="15.75" customHeight="1" x14ac:dyDescent="0.25">
      <c r="BJ576" s="6"/>
      <c r="BK576" s="7"/>
      <c r="BL576" s="1"/>
      <c r="BM576" s="1"/>
    </row>
    <row r="577" spans="62:65" ht="15.75" customHeight="1" x14ac:dyDescent="0.25">
      <c r="BJ577" s="6"/>
      <c r="BK577" s="7"/>
      <c r="BL577" s="1"/>
      <c r="BM577" s="1"/>
    </row>
    <row r="578" spans="62:65" ht="15.75" customHeight="1" x14ac:dyDescent="0.25">
      <c r="BJ578" s="6"/>
      <c r="BK578" s="7"/>
      <c r="BL578" s="1"/>
      <c r="BM578" s="1"/>
    </row>
    <row r="579" spans="62:65" ht="15.75" customHeight="1" x14ac:dyDescent="0.25">
      <c r="BJ579" s="6"/>
      <c r="BK579" s="7"/>
      <c r="BL579" s="1"/>
      <c r="BM579" s="1"/>
    </row>
    <row r="580" spans="62:65" ht="15.75" customHeight="1" x14ac:dyDescent="0.25">
      <c r="BJ580" s="6"/>
      <c r="BK580" s="7"/>
      <c r="BL580" s="1"/>
      <c r="BM580" s="1"/>
    </row>
    <row r="581" spans="62:65" ht="15.75" customHeight="1" x14ac:dyDescent="0.25">
      <c r="BJ581" s="6"/>
      <c r="BK581" s="7"/>
      <c r="BL581" s="1"/>
      <c r="BM581" s="1"/>
    </row>
    <row r="582" spans="62:65" ht="15.75" customHeight="1" x14ac:dyDescent="0.25">
      <c r="BJ582" s="6"/>
      <c r="BK582" s="7"/>
      <c r="BL582" s="1"/>
      <c r="BM582" s="1"/>
    </row>
    <row r="583" spans="62:65" ht="15.75" customHeight="1" x14ac:dyDescent="0.25">
      <c r="BJ583" s="6"/>
      <c r="BK583" s="7"/>
      <c r="BL583" s="1"/>
      <c r="BM583" s="1"/>
    </row>
    <row r="584" spans="62:65" ht="15.75" customHeight="1" x14ac:dyDescent="0.25">
      <c r="BJ584" s="6"/>
      <c r="BK584" s="7"/>
      <c r="BL584" s="1"/>
      <c r="BM584" s="1"/>
    </row>
    <row r="585" spans="62:65" ht="15.75" customHeight="1" x14ac:dyDescent="0.25">
      <c r="BJ585" s="6"/>
      <c r="BK585" s="7"/>
      <c r="BL585" s="1"/>
      <c r="BM585" s="1"/>
    </row>
    <row r="586" spans="62:65" ht="15.75" customHeight="1" x14ac:dyDescent="0.25">
      <c r="BJ586" s="6"/>
      <c r="BK586" s="7"/>
      <c r="BL586" s="1"/>
      <c r="BM586" s="1"/>
    </row>
    <row r="587" spans="62:65" ht="15.75" customHeight="1" x14ac:dyDescent="0.25">
      <c r="BJ587" s="6"/>
      <c r="BK587" s="7"/>
      <c r="BL587" s="1"/>
      <c r="BM587" s="1"/>
    </row>
    <row r="588" spans="62:65" ht="15.75" customHeight="1" x14ac:dyDescent="0.25">
      <c r="BJ588" s="6"/>
      <c r="BK588" s="7"/>
      <c r="BL588" s="1"/>
      <c r="BM588" s="1"/>
    </row>
    <row r="589" spans="62:65" ht="15.75" customHeight="1" x14ac:dyDescent="0.25">
      <c r="BJ589" s="6"/>
      <c r="BK589" s="7"/>
      <c r="BL589" s="1"/>
      <c r="BM589" s="1"/>
    </row>
    <row r="590" spans="62:65" ht="15.75" customHeight="1" x14ac:dyDescent="0.25">
      <c r="BJ590" s="6"/>
      <c r="BK590" s="7"/>
      <c r="BL590" s="1"/>
      <c r="BM590" s="1"/>
    </row>
    <row r="591" spans="62:65" ht="15.75" customHeight="1" x14ac:dyDescent="0.25">
      <c r="BJ591" s="6"/>
      <c r="BK591" s="7"/>
      <c r="BL591" s="1"/>
      <c r="BM591" s="1"/>
    </row>
    <row r="592" spans="62:65" ht="15.75" customHeight="1" x14ac:dyDescent="0.25">
      <c r="BJ592" s="6"/>
      <c r="BK592" s="7"/>
      <c r="BL592" s="1"/>
      <c r="BM592" s="1"/>
    </row>
    <row r="593" spans="62:65" ht="15.75" customHeight="1" x14ac:dyDescent="0.25">
      <c r="BJ593" s="6"/>
      <c r="BK593" s="7"/>
      <c r="BL593" s="1"/>
      <c r="BM593" s="1"/>
    </row>
    <row r="594" spans="62:65" ht="15.75" customHeight="1" x14ac:dyDescent="0.25">
      <c r="BJ594" s="6"/>
      <c r="BK594" s="7"/>
      <c r="BL594" s="1"/>
      <c r="BM594" s="1"/>
    </row>
    <row r="595" spans="62:65" ht="15.75" customHeight="1" x14ac:dyDescent="0.25">
      <c r="BJ595" s="6"/>
      <c r="BK595" s="7"/>
      <c r="BL595" s="1"/>
      <c r="BM595" s="1"/>
    </row>
    <row r="596" spans="62:65" ht="15.75" customHeight="1" x14ac:dyDescent="0.25">
      <c r="BJ596" s="6"/>
      <c r="BK596" s="7"/>
      <c r="BL596" s="1"/>
      <c r="BM596" s="1"/>
    </row>
    <row r="597" spans="62:65" ht="15.75" customHeight="1" x14ac:dyDescent="0.25">
      <c r="BJ597" s="6"/>
      <c r="BK597" s="7"/>
      <c r="BL597" s="1"/>
      <c r="BM597" s="1"/>
    </row>
    <row r="598" spans="62:65" ht="15.75" customHeight="1" x14ac:dyDescent="0.25">
      <c r="BJ598" s="6"/>
      <c r="BK598" s="7"/>
      <c r="BL598" s="1"/>
      <c r="BM598" s="1"/>
    </row>
    <row r="599" spans="62:65" ht="15.75" customHeight="1" x14ac:dyDescent="0.25">
      <c r="BJ599" s="6"/>
      <c r="BK599" s="7"/>
      <c r="BL599" s="1"/>
      <c r="BM599" s="1"/>
    </row>
    <row r="600" spans="62:65" ht="15.75" customHeight="1" x14ac:dyDescent="0.25">
      <c r="BJ600" s="6"/>
      <c r="BK600" s="7"/>
      <c r="BL600" s="1"/>
      <c r="BM600" s="1"/>
    </row>
    <row r="601" spans="62:65" ht="15.75" customHeight="1" x14ac:dyDescent="0.25">
      <c r="BJ601" s="6"/>
      <c r="BK601" s="7"/>
      <c r="BL601" s="1"/>
      <c r="BM601" s="1"/>
    </row>
    <row r="602" spans="62:65" ht="15.75" customHeight="1" x14ac:dyDescent="0.25">
      <c r="BJ602" s="6"/>
      <c r="BK602" s="7"/>
      <c r="BL602" s="1"/>
      <c r="BM602" s="1"/>
    </row>
    <row r="603" spans="62:65" ht="15.75" customHeight="1" x14ac:dyDescent="0.25">
      <c r="BJ603" s="6"/>
      <c r="BK603" s="7"/>
      <c r="BL603" s="1"/>
      <c r="BM603" s="1"/>
    </row>
    <row r="604" spans="62:65" ht="15.75" customHeight="1" x14ac:dyDescent="0.25">
      <c r="BJ604" s="6"/>
      <c r="BK604" s="7"/>
      <c r="BL604" s="1"/>
      <c r="BM604" s="1"/>
    </row>
    <row r="605" spans="62:65" ht="15.75" customHeight="1" x14ac:dyDescent="0.25">
      <c r="BJ605" s="6"/>
      <c r="BK605" s="7"/>
      <c r="BL605" s="1"/>
      <c r="BM605" s="1"/>
    </row>
    <row r="606" spans="62:65" ht="15.75" customHeight="1" x14ac:dyDescent="0.25">
      <c r="BJ606" s="6"/>
      <c r="BK606" s="7"/>
      <c r="BL606" s="1"/>
      <c r="BM606" s="1"/>
    </row>
    <row r="607" spans="62:65" ht="15.75" customHeight="1" x14ac:dyDescent="0.25">
      <c r="BJ607" s="6"/>
      <c r="BK607" s="7"/>
      <c r="BL607" s="1"/>
      <c r="BM607" s="1"/>
    </row>
    <row r="608" spans="62:65" ht="15.75" customHeight="1" x14ac:dyDescent="0.25">
      <c r="BJ608" s="6"/>
      <c r="BK608" s="7"/>
      <c r="BL608" s="1"/>
      <c r="BM608" s="1"/>
    </row>
    <row r="609" spans="62:65" ht="15.75" customHeight="1" x14ac:dyDescent="0.25">
      <c r="BJ609" s="6"/>
      <c r="BK609" s="7"/>
      <c r="BL609" s="1"/>
      <c r="BM609" s="1"/>
    </row>
    <row r="610" spans="62:65" ht="15.75" customHeight="1" x14ac:dyDescent="0.25">
      <c r="BJ610" s="6"/>
      <c r="BK610" s="7"/>
      <c r="BL610" s="1"/>
      <c r="BM610" s="1"/>
    </row>
    <row r="611" spans="62:65" ht="15.75" customHeight="1" x14ac:dyDescent="0.25">
      <c r="BJ611" s="6"/>
      <c r="BK611" s="7"/>
      <c r="BL611" s="1"/>
      <c r="BM611" s="1"/>
    </row>
    <row r="612" spans="62:65" ht="15.75" customHeight="1" x14ac:dyDescent="0.25">
      <c r="BJ612" s="6"/>
      <c r="BK612" s="7"/>
      <c r="BL612" s="1"/>
      <c r="BM612" s="1"/>
    </row>
    <row r="613" spans="62:65" ht="15.75" customHeight="1" x14ac:dyDescent="0.25">
      <c r="BJ613" s="6"/>
      <c r="BK613" s="7"/>
      <c r="BL613" s="1"/>
      <c r="BM613" s="1"/>
    </row>
    <row r="614" spans="62:65" ht="15.75" customHeight="1" x14ac:dyDescent="0.25">
      <c r="BJ614" s="6"/>
      <c r="BK614" s="7"/>
      <c r="BL614" s="1"/>
      <c r="BM614" s="1"/>
    </row>
    <row r="615" spans="62:65" ht="15.75" customHeight="1" x14ac:dyDescent="0.25">
      <c r="BJ615" s="6"/>
      <c r="BK615" s="7"/>
      <c r="BL615" s="1"/>
      <c r="BM615" s="1"/>
    </row>
    <row r="616" spans="62:65" ht="15.75" customHeight="1" x14ac:dyDescent="0.25">
      <c r="BJ616" s="6"/>
      <c r="BK616" s="7"/>
      <c r="BL616" s="1"/>
      <c r="BM616" s="1"/>
    </row>
    <row r="617" spans="62:65" ht="15.75" customHeight="1" x14ac:dyDescent="0.25">
      <c r="BJ617" s="6"/>
      <c r="BK617" s="7"/>
      <c r="BL617" s="1"/>
      <c r="BM617" s="1"/>
    </row>
    <row r="618" spans="62:65" ht="15.75" customHeight="1" x14ac:dyDescent="0.25">
      <c r="BJ618" s="6"/>
      <c r="BK618" s="7"/>
      <c r="BL618" s="1"/>
      <c r="BM618" s="1"/>
    </row>
    <row r="619" spans="62:65" ht="15.75" customHeight="1" x14ac:dyDescent="0.25">
      <c r="BJ619" s="6"/>
      <c r="BK619" s="7"/>
      <c r="BL619" s="1"/>
      <c r="BM619" s="1"/>
    </row>
    <row r="620" spans="62:65" ht="15.75" customHeight="1" x14ac:dyDescent="0.25">
      <c r="BJ620" s="6"/>
      <c r="BK620" s="7"/>
      <c r="BL620" s="1"/>
      <c r="BM620" s="1"/>
    </row>
    <row r="621" spans="62:65" ht="15.75" customHeight="1" x14ac:dyDescent="0.25">
      <c r="BJ621" s="6"/>
      <c r="BK621" s="7"/>
      <c r="BL621" s="1"/>
      <c r="BM621" s="1"/>
    </row>
    <row r="622" spans="62:65" ht="15.75" customHeight="1" x14ac:dyDescent="0.25">
      <c r="BJ622" s="6"/>
      <c r="BK622" s="7"/>
      <c r="BL622" s="1"/>
      <c r="BM622" s="1"/>
    </row>
    <row r="623" spans="62:65" ht="15.75" customHeight="1" x14ac:dyDescent="0.25">
      <c r="BJ623" s="6"/>
      <c r="BK623" s="7"/>
      <c r="BL623" s="1"/>
      <c r="BM623" s="1"/>
    </row>
    <row r="624" spans="62:65" ht="15.75" customHeight="1" x14ac:dyDescent="0.25">
      <c r="BJ624" s="6"/>
      <c r="BK624" s="7"/>
      <c r="BL624" s="1"/>
      <c r="BM624" s="1"/>
    </row>
    <row r="625" spans="62:65" ht="15.75" customHeight="1" x14ac:dyDescent="0.25">
      <c r="BJ625" s="6"/>
      <c r="BK625" s="7"/>
      <c r="BL625" s="1"/>
      <c r="BM625" s="1"/>
    </row>
    <row r="626" spans="62:65" ht="15.75" customHeight="1" x14ac:dyDescent="0.25">
      <c r="BJ626" s="6"/>
      <c r="BK626" s="7"/>
      <c r="BL626" s="1"/>
      <c r="BM626" s="1"/>
    </row>
    <row r="627" spans="62:65" ht="15.75" customHeight="1" x14ac:dyDescent="0.25">
      <c r="BJ627" s="6"/>
      <c r="BK627" s="7"/>
      <c r="BL627" s="1"/>
      <c r="BM627" s="1"/>
    </row>
    <row r="628" spans="62:65" ht="15.75" customHeight="1" x14ac:dyDescent="0.25">
      <c r="BJ628" s="6"/>
      <c r="BK628" s="7"/>
      <c r="BL628" s="1"/>
      <c r="BM628" s="1"/>
    </row>
    <row r="629" spans="62:65" ht="15.75" customHeight="1" x14ac:dyDescent="0.25">
      <c r="BJ629" s="6"/>
      <c r="BK629" s="7"/>
      <c r="BL629" s="1"/>
      <c r="BM629" s="1"/>
    </row>
    <row r="630" spans="62:65" ht="15.75" customHeight="1" x14ac:dyDescent="0.25">
      <c r="BJ630" s="6"/>
      <c r="BK630" s="7"/>
      <c r="BL630" s="1"/>
      <c r="BM630" s="1"/>
    </row>
    <row r="631" spans="62:65" ht="15.75" customHeight="1" x14ac:dyDescent="0.25">
      <c r="BJ631" s="6"/>
      <c r="BK631" s="7"/>
      <c r="BL631" s="1"/>
      <c r="BM631" s="1"/>
    </row>
    <row r="632" spans="62:65" ht="15.75" customHeight="1" x14ac:dyDescent="0.25">
      <c r="BJ632" s="6"/>
      <c r="BK632" s="7"/>
      <c r="BL632" s="1"/>
      <c r="BM632" s="1"/>
    </row>
    <row r="633" spans="62:65" ht="15.75" customHeight="1" x14ac:dyDescent="0.25">
      <c r="BJ633" s="6"/>
      <c r="BK633" s="7"/>
      <c r="BL633" s="1"/>
      <c r="BM633" s="1"/>
    </row>
    <row r="634" spans="62:65" ht="15.75" customHeight="1" x14ac:dyDescent="0.25">
      <c r="BJ634" s="6"/>
      <c r="BK634" s="7"/>
      <c r="BL634" s="1"/>
      <c r="BM634" s="1"/>
    </row>
    <row r="635" spans="62:65" ht="15.75" customHeight="1" x14ac:dyDescent="0.25">
      <c r="BJ635" s="6"/>
      <c r="BK635" s="7"/>
      <c r="BL635" s="1"/>
      <c r="BM635" s="1"/>
    </row>
    <row r="636" spans="62:65" ht="15.75" customHeight="1" x14ac:dyDescent="0.25">
      <c r="BJ636" s="6"/>
      <c r="BK636" s="7"/>
      <c r="BL636" s="1"/>
      <c r="BM636" s="1"/>
    </row>
    <row r="637" spans="62:65" ht="15.75" customHeight="1" x14ac:dyDescent="0.25">
      <c r="BJ637" s="6"/>
      <c r="BK637" s="7"/>
      <c r="BL637" s="1"/>
      <c r="BM637" s="1"/>
    </row>
    <row r="638" spans="62:65" ht="15.75" customHeight="1" x14ac:dyDescent="0.25">
      <c r="BJ638" s="6"/>
      <c r="BK638" s="7"/>
      <c r="BL638" s="1"/>
      <c r="BM638" s="1"/>
    </row>
    <row r="639" spans="62:65" ht="15.75" customHeight="1" x14ac:dyDescent="0.25">
      <c r="BJ639" s="6"/>
      <c r="BK639" s="7"/>
      <c r="BL639" s="1"/>
      <c r="BM639" s="1"/>
    </row>
    <row r="640" spans="62:65" ht="15.75" customHeight="1" x14ac:dyDescent="0.25">
      <c r="BJ640" s="6"/>
      <c r="BK640" s="7"/>
      <c r="BL640" s="1"/>
      <c r="BM640" s="1"/>
    </row>
    <row r="641" spans="62:65" ht="15.75" customHeight="1" x14ac:dyDescent="0.25">
      <c r="BJ641" s="6"/>
      <c r="BK641" s="7"/>
      <c r="BL641" s="1"/>
      <c r="BM641" s="1"/>
    </row>
    <row r="642" spans="62:65" ht="15.75" customHeight="1" x14ac:dyDescent="0.25">
      <c r="BJ642" s="6"/>
      <c r="BK642" s="7"/>
      <c r="BL642" s="1"/>
      <c r="BM642" s="1"/>
    </row>
    <row r="643" spans="62:65" ht="15.75" customHeight="1" x14ac:dyDescent="0.25">
      <c r="BJ643" s="6"/>
      <c r="BK643" s="7"/>
      <c r="BL643" s="1"/>
      <c r="BM643" s="1"/>
    </row>
    <row r="644" spans="62:65" ht="15.75" customHeight="1" x14ac:dyDescent="0.25">
      <c r="BJ644" s="6"/>
      <c r="BK644" s="7"/>
      <c r="BL644" s="1"/>
      <c r="BM644" s="1"/>
    </row>
    <row r="645" spans="62:65" ht="15.75" customHeight="1" x14ac:dyDescent="0.25">
      <c r="BJ645" s="6"/>
      <c r="BK645" s="7"/>
      <c r="BL645" s="1"/>
      <c r="BM645" s="1"/>
    </row>
    <row r="646" spans="62:65" ht="15.75" customHeight="1" x14ac:dyDescent="0.25">
      <c r="BJ646" s="6"/>
      <c r="BK646" s="7"/>
      <c r="BL646" s="1"/>
      <c r="BM646" s="1"/>
    </row>
    <row r="647" spans="62:65" ht="15.75" customHeight="1" x14ac:dyDescent="0.25">
      <c r="BJ647" s="6"/>
      <c r="BK647" s="7"/>
      <c r="BL647" s="1"/>
      <c r="BM647" s="1"/>
    </row>
    <row r="648" spans="62:65" ht="15.75" customHeight="1" x14ac:dyDescent="0.25">
      <c r="BJ648" s="6"/>
      <c r="BK648" s="7"/>
      <c r="BL648" s="1"/>
      <c r="BM648" s="1"/>
    </row>
    <row r="649" spans="62:65" ht="15.75" customHeight="1" x14ac:dyDescent="0.25">
      <c r="BJ649" s="6"/>
      <c r="BK649" s="7"/>
      <c r="BL649" s="1"/>
      <c r="BM649" s="1"/>
    </row>
    <row r="650" spans="62:65" ht="15.75" customHeight="1" x14ac:dyDescent="0.25">
      <c r="BJ650" s="6"/>
      <c r="BK650" s="7"/>
      <c r="BL650" s="1"/>
      <c r="BM650" s="1"/>
    </row>
    <row r="651" spans="62:65" ht="15.75" customHeight="1" x14ac:dyDescent="0.25">
      <c r="BJ651" s="6"/>
      <c r="BK651" s="7"/>
      <c r="BL651" s="1"/>
      <c r="BM651" s="1"/>
    </row>
    <row r="652" spans="62:65" ht="15.75" customHeight="1" x14ac:dyDescent="0.25">
      <c r="BJ652" s="6"/>
      <c r="BK652" s="7"/>
      <c r="BL652" s="1"/>
      <c r="BM652" s="1"/>
    </row>
    <row r="653" spans="62:65" ht="15.75" customHeight="1" x14ac:dyDescent="0.25">
      <c r="BJ653" s="6"/>
      <c r="BK653" s="7"/>
      <c r="BL653" s="1"/>
      <c r="BM653" s="1"/>
    </row>
    <row r="654" spans="62:65" ht="15.75" customHeight="1" x14ac:dyDescent="0.25">
      <c r="BJ654" s="6"/>
      <c r="BK654" s="7"/>
      <c r="BL654" s="1"/>
      <c r="BM654" s="1"/>
    </row>
    <row r="655" spans="62:65" ht="15.75" customHeight="1" x14ac:dyDescent="0.25">
      <c r="BJ655" s="6"/>
      <c r="BK655" s="7"/>
      <c r="BL655" s="1"/>
      <c r="BM655" s="1"/>
    </row>
    <row r="656" spans="62:65" ht="15.75" customHeight="1" x14ac:dyDescent="0.25">
      <c r="BJ656" s="6"/>
      <c r="BK656" s="7"/>
      <c r="BL656" s="1"/>
      <c r="BM656" s="1"/>
    </row>
    <row r="657" spans="62:65" ht="15.75" customHeight="1" x14ac:dyDescent="0.25">
      <c r="BJ657" s="6"/>
      <c r="BK657" s="7"/>
      <c r="BL657" s="1"/>
      <c r="BM657" s="1"/>
    </row>
    <row r="658" spans="62:65" ht="15.75" customHeight="1" x14ac:dyDescent="0.25">
      <c r="BJ658" s="6"/>
      <c r="BK658" s="7"/>
      <c r="BL658" s="1"/>
      <c r="BM658" s="1"/>
    </row>
    <row r="659" spans="62:65" ht="15.75" customHeight="1" x14ac:dyDescent="0.25">
      <c r="BJ659" s="6"/>
      <c r="BK659" s="7"/>
      <c r="BL659" s="1"/>
      <c r="BM659" s="1"/>
    </row>
    <row r="660" spans="62:65" ht="15.75" customHeight="1" x14ac:dyDescent="0.25">
      <c r="BJ660" s="6"/>
      <c r="BK660" s="7"/>
      <c r="BL660" s="1"/>
      <c r="BM660" s="1"/>
    </row>
    <row r="661" spans="62:65" ht="15.75" customHeight="1" x14ac:dyDescent="0.25">
      <c r="BJ661" s="6"/>
      <c r="BK661" s="7"/>
      <c r="BL661" s="1"/>
      <c r="BM661" s="1"/>
    </row>
    <row r="662" spans="62:65" ht="15.75" customHeight="1" x14ac:dyDescent="0.25">
      <c r="BJ662" s="6"/>
      <c r="BK662" s="7"/>
      <c r="BL662" s="1"/>
      <c r="BM662" s="1"/>
    </row>
    <row r="663" spans="62:65" ht="15.75" customHeight="1" x14ac:dyDescent="0.25">
      <c r="BJ663" s="6"/>
      <c r="BK663" s="7"/>
      <c r="BL663" s="1"/>
      <c r="BM663" s="1"/>
    </row>
    <row r="664" spans="62:65" ht="15.75" customHeight="1" x14ac:dyDescent="0.25">
      <c r="BJ664" s="6"/>
      <c r="BK664" s="7"/>
      <c r="BL664" s="1"/>
      <c r="BM664" s="1"/>
    </row>
    <row r="665" spans="62:65" ht="15.75" customHeight="1" x14ac:dyDescent="0.25">
      <c r="BJ665" s="6"/>
      <c r="BK665" s="7"/>
      <c r="BL665" s="1"/>
      <c r="BM665" s="1"/>
    </row>
    <row r="666" spans="62:65" ht="15.75" customHeight="1" x14ac:dyDescent="0.25">
      <c r="BJ666" s="6"/>
      <c r="BK666" s="7"/>
      <c r="BL666" s="1"/>
      <c r="BM666" s="1"/>
    </row>
    <row r="667" spans="62:65" ht="15.75" customHeight="1" x14ac:dyDescent="0.25">
      <c r="BJ667" s="6"/>
      <c r="BK667" s="7"/>
      <c r="BL667" s="1"/>
      <c r="BM667" s="1"/>
    </row>
    <row r="668" spans="62:65" ht="15.75" customHeight="1" x14ac:dyDescent="0.25">
      <c r="BJ668" s="6"/>
      <c r="BK668" s="7"/>
      <c r="BL668" s="1"/>
      <c r="BM668" s="1"/>
    </row>
    <row r="669" spans="62:65" ht="15.75" customHeight="1" x14ac:dyDescent="0.25">
      <c r="BJ669" s="6"/>
      <c r="BK669" s="7"/>
      <c r="BL669" s="1"/>
      <c r="BM669" s="1"/>
    </row>
    <row r="670" spans="62:65" ht="15.75" customHeight="1" x14ac:dyDescent="0.25">
      <c r="BJ670" s="6"/>
      <c r="BK670" s="7"/>
      <c r="BL670" s="1"/>
      <c r="BM670" s="1"/>
    </row>
    <row r="671" spans="62:65" ht="15.75" customHeight="1" x14ac:dyDescent="0.25">
      <c r="BJ671" s="6"/>
      <c r="BK671" s="7"/>
      <c r="BL671" s="1"/>
      <c r="BM671" s="1"/>
    </row>
    <row r="672" spans="62:65" ht="15.75" customHeight="1" x14ac:dyDescent="0.25">
      <c r="BJ672" s="6"/>
      <c r="BK672" s="7"/>
      <c r="BL672" s="1"/>
      <c r="BM672" s="1"/>
    </row>
    <row r="673" spans="62:65" ht="15.75" customHeight="1" x14ac:dyDescent="0.25">
      <c r="BJ673" s="6"/>
      <c r="BK673" s="7"/>
      <c r="BL673" s="1"/>
      <c r="BM673" s="1"/>
    </row>
    <row r="674" spans="62:65" ht="15.75" customHeight="1" x14ac:dyDescent="0.25">
      <c r="BJ674" s="6"/>
      <c r="BK674" s="7"/>
      <c r="BL674" s="1"/>
      <c r="BM674" s="1"/>
    </row>
    <row r="675" spans="62:65" ht="15.75" customHeight="1" x14ac:dyDescent="0.25">
      <c r="BJ675" s="6"/>
      <c r="BK675" s="7"/>
      <c r="BL675" s="1"/>
      <c r="BM675" s="1"/>
    </row>
    <row r="676" spans="62:65" ht="15.75" customHeight="1" x14ac:dyDescent="0.25">
      <c r="BJ676" s="6"/>
      <c r="BK676" s="7"/>
      <c r="BL676" s="1"/>
      <c r="BM676" s="1"/>
    </row>
    <row r="677" spans="62:65" ht="15.75" customHeight="1" x14ac:dyDescent="0.25">
      <c r="BJ677" s="6"/>
      <c r="BK677" s="7"/>
      <c r="BL677" s="1"/>
      <c r="BM677" s="1"/>
    </row>
    <row r="678" spans="62:65" ht="15.75" customHeight="1" x14ac:dyDescent="0.25">
      <c r="BJ678" s="6"/>
      <c r="BK678" s="7"/>
      <c r="BL678" s="1"/>
      <c r="BM678" s="1"/>
    </row>
    <row r="679" spans="62:65" ht="15.75" customHeight="1" x14ac:dyDescent="0.25">
      <c r="BJ679" s="6"/>
      <c r="BK679" s="7"/>
      <c r="BL679" s="1"/>
      <c r="BM679" s="1"/>
    </row>
    <row r="680" spans="62:65" ht="15.75" customHeight="1" x14ac:dyDescent="0.25">
      <c r="BJ680" s="6"/>
      <c r="BK680" s="7"/>
      <c r="BL680" s="1"/>
      <c r="BM680" s="1"/>
    </row>
    <row r="681" spans="62:65" ht="15.75" customHeight="1" x14ac:dyDescent="0.25">
      <c r="BJ681" s="6"/>
      <c r="BK681" s="7"/>
      <c r="BL681" s="1"/>
      <c r="BM681" s="1"/>
    </row>
    <row r="682" spans="62:65" ht="15.75" customHeight="1" x14ac:dyDescent="0.25">
      <c r="BJ682" s="6"/>
      <c r="BK682" s="7"/>
      <c r="BL682" s="1"/>
      <c r="BM682" s="1"/>
    </row>
    <row r="683" spans="62:65" ht="15.75" customHeight="1" x14ac:dyDescent="0.25">
      <c r="BJ683" s="6"/>
      <c r="BK683" s="7"/>
      <c r="BL683" s="1"/>
      <c r="BM683" s="1"/>
    </row>
    <row r="684" spans="62:65" ht="15.75" customHeight="1" x14ac:dyDescent="0.25">
      <c r="BJ684" s="6"/>
      <c r="BK684" s="7"/>
      <c r="BL684" s="1"/>
      <c r="BM684" s="1"/>
    </row>
    <row r="685" spans="62:65" ht="15.75" customHeight="1" x14ac:dyDescent="0.25">
      <c r="BJ685" s="6"/>
      <c r="BK685" s="7"/>
      <c r="BL685" s="1"/>
      <c r="BM685" s="1"/>
    </row>
    <row r="686" spans="62:65" ht="15.75" customHeight="1" x14ac:dyDescent="0.25">
      <c r="BJ686" s="6"/>
      <c r="BK686" s="7"/>
      <c r="BL686" s="1"/>
      <c r="BM686" s="1"/>
    </row>
    <row r="687" spans="62:65" ht="15.75" customHeight="1" x14ac:dyDescent="0.25">
      <c r="BJ687" s="6"/>
      <c r="BK687" s="7"/>
      <c r="BL687" s="1"/>
      <c r="BM687" s="1"/>
    </row>
    <row r="688" spans="62:65" ht="15.75" customHeight="1" x14ac:dyDescent="0.25">
      <c r="BJ688" s="6"/>
      <c r="BK688" s="7"/>
      <c r="BL688" s="1"/>
      <c r="BM688" s="1"/>
    </row>
    <row r="689" spans="62:65" ht="15.75" customHeight="1" x14ac:dyDescent="0.25">
      <c r="BJ689" s="6"/>
      <c r="BK689" s="7"/>
      <c r="BL689" s="1"/>
      <c r="BM689" s="1"/>
    </row>
    <row r="690" spans="62:65" ht="15.75" customHeight="1" x14ac:dyDescent="0.25">
      <c r="BJ690" s="6"/>
      <c r="BK690" s="7"/>
      <c r="BL690" s="1"/>
      <c r="BM690" s="1"/>
    </row>
    <row r="691" spans="62:65" ht="15.75" customHeight="1" x14ac:dyDescent="0.25">
      <c r="BJ691" s="6"/>
      <c r="BK691" s="7"/>
      <c r="BL691" s="1"/>
      <c r="BM691" s="1"/>
    </row>
    <row r="692" spans="62:65" ht="15.75" customHeight="1" x14ac:dyDescent="0.25">
      <c r="BJ692" s="6"/>
      <c r="BK692" s="7"/>
      <c r="BL692" s="1"/>
      <c r="BM692" s="1"/>
    </row>
    <row r="693" spans="62:65" ht="15.75" customHeight="1" x14ac:dyDescent="0.25">
      <c r="BJ693" s="6"/>
      <c r="BK693" s="7"/>
      <c r="BL693" s="1"/>
      <c r="BM693" s="1"/>
    </row>
    <row r="694" spans="62:65" ht="15.75" customHeight="1" x14ac:dyDescent="0.25">
      <c r="BJ694" s="6"/>
      <c r="BK694" s="7"/>
      <c r="BL694" s="1"/>
      <c r="BM694" s="1"/>
    </row>
    <row r="695" spans="62:65" ht="15.75" customHeight="1" x14ac:dyDescent="0.25">
      <c r="BJ695" s="6"/>
      <c r="BK695" s="7"/>
      <c r="BL695" s="1"/>
      <c r="BM695" s="1"/>
    </row>
    <row r="696" spans="62:65" ht="15.75" customHeight="1" x14ac:dyDescent="0.25">
      <c r="BJ696" s="6"/>
      <c r="BK696" s="7"/>
      <c r="BL696" s="1"/>
      <c r="BM696" s="1"/>
    </row>
    <row r="697" spans="62:65" ht="15.75" customHeight="1" x14ac:dyDescent="0.25">
      <c r="BJ697" s="6"/>
      <c r="BK697" s="7"/>
      <c r="BL697" s="1"/>
      <c r="BM697" s="1"/>
    </row>
    <row r="698" spans="62:65" ht="15.75" customHeight="1" x14ac:dyDescent="0.25">
      <c r="BJ698" s="6"/>
      <c r="BK698" s="7"/>
      <c r="BL698" s="1"/>
      <c r="BM698" s="1"/>
    </row>
    <row r="699" spans="62:65" ht="15.75" customHeight="1" x14ac:dyDescent="0.25">
      <c r="BJ699" s="6"/>
      <c r="BK699" s="7"/>
      <c r="BL699" s="1"/>
      <c r="BM699" s="1"/>
    </row>
    <row r="700" spans="62:65" ht="15.75" customHeight="1" x14ac:dyDescent="0.25">
      <c r="BJ700" s="6"/>
      <c r="BK700" s="7"/>
      <c r="BL700" s="1"/>
      <c r="BM700" s="1"/>
    </row>
    <row r="701" spans="62:65" ht="15.75" customHeight="1" x14ac:dyDescent="0.25">
      <c r="BJ701" s="6"/>
      <c r="BK701" s="7"/>
      <c r="BL701" s="1"/>
      <c r="BM701" s="1"/>
    </row>
    <row r="702" spans="62:65" ht="15.75" customHeight="1" x14ac:dyDescent="0.25">
      <c r="BJ702" s="6"/>
      <c r="BK702" s="7"/>
      <c r="BL702" s="1"/>
      <c r="BM702" s="1"/>
    </row>
    <row r="703" spans="62:65" ht="15.75" customHeight="1" x14ac:dyDescent="0.25">
      <c r="BJ703" s="6"/>
      <c r="BK703" s="7"/>
      <c r="BL703" s="1"/>
      <c r="BM703" s="1"/>
    </row>
    <row r="704" spans="62:65" ht="15.75" customHeight="1" x14ac:dyDescent="0.25">
      <c r="BJ704" s="6"/>
      <c r="BK704" s="7"/>
      <c r="BL704" s="1"/>
      <c r="BM704" s="1"/>
    </row>
    <row r="705" spans="62:65" ht="15.75" customHeight="1" x14ac:dyDescent="0.25">
      <c r="BJ705" s="6"/>
      <c r="BK705" s="7"/>
      <c r="BL705" s="1"/>
      <c r="BM705" s="1"/>
    </row>
    <row r="706" spans="62:65" ht="15.75" customHeight="1" x14ac:dyDescent="0.25">
      <c r="BJ706" s="6"/>
      <c r="BK706" s="7"/>
      <c r="BL706" s="1"/>
      <c r="BM706" s="1"/>
    </row>
    <row r="707" spans="62:65" ht="15.75" customHeight="1" x14ac:dyDescent="0.25">
      <c r="BJ707" s="6"/>
      <c r="BK707" s="7"/>
      <c r="BL707" s="1"/>
      <c r="BM707" s="1"/>
    </row>
    <row r="708" spans="62:65" ht="15.75" customHeight="1" x14ac:dyDescent="0.25">
      <c r="BJ708" s="6"/>
      <c r="BK708" s="7"/>
      <c r="BL708" s="1"/>
      <c r="BM708" s="1"/>
    </row>
    <row r="709" spans="62:65" ht="15.75" customHeight="1" x14ac:dyDescent="0.25">
      <c r="BJ709" s="6"/>
      <c r="BK709" s="7"/>
      <c r="BL709" s="1"/>
      <c r="BM709" s="1"/>
    </row>
    <row r="710" spans="62:65" ht="15.75" customHeight="1" x14ac:dyDescent="0.25">
      <c r="BJ710" s="6"/>
      <c r="BK710" s="7"/>
      <c r="BL710" s="1"/>
      <c r="BM710" s="1"/>
    </row>
    <row r="711" spans="62:65" ht="15.75" customHeight="1" x14ac:dyDescent="0.25">
      <c r="BJ711" s="6"/>
      <c r="BK711" s="7"/>
      <c r="BL711" s="1"/>
      <c r="BM711" s="1"/>
    </row>
    <row r="712" spans="62:65" ht="15.75" customHeight="1" x14ac:dyDescent="0.25">
      <c r="BJ712" s="6"/>
      <c r="BK712" s="7"/>
      <c r="BL712" s="1"/>
      <c r="BM712" s="1"/>
    </row>
    <row r="713" spans="62:65" ht="15.75" customHeight="1" x14ac:dyDescent="0.25">
      <c r="BJ713" s="6"/>
      <c r="BK713" s="7"/>
      <c r="BL713" s="1"/>
      <c r="BM713" s="1"/>
    </row>
    <row r="714" spans="62:65" ht="15.75" customHeight="1" x14ac:dyDescent="0.25">
      <c r="BJ714" s="6"/>
      <c r="BK714" s="7"/>
      <c r="BL714" s="1"/>
      <c r="BM714" s="1"/>
    </row>
    <row r="715" spans="62:65" ht="15.75" customHeight="1" x14ac:dyDescent="0.25">
      <c r="BJ715" s="6"/>
      <c r="BK715" s="7"/>
      <c r="BL715" s="1"/>
      <c r="BM715" s="1"/>
    </row>
    <row r="716" spans="62:65" ht="15.75" customHeight="1" x14ac:dyDescent="0.25">
      <c r="BJ716" s="6"/>
      <c r="BK716" s="7"/>
      <c r="BL716" s="1"/>
      <c r="BM716" s="1"/>
    </row>
    <row r="717" spans="62:65" ht="15.75" customHeight="1" x14ac:dyDescent="0.25">
      <c r="BJ717" s="6"/>
      <c r="BK717" s="7"/>
      <c r="BL717" s="1"/>
      <c r="BM717" s="1"/>
    </row>
    <row r="718" spans="62:65" ht="15.75" customHeight="1" x14ac:dyDescent="0.25">
      <c r="BJ718" s="6"/>
      <c r="BK718" s="7"/>
      <c r="BL718" s="1"/>
      <c r="BM718" s="1"/>
    </row>
    <row r="719" spans="62:65" ht="15.75" customHeight="1" x14ac:dyDescent="0.25">
      <c r="BJ719" s="6"/>
      <c r="BK719" s="7"/>
      <c r="BL719" s="1"/>
      <c r="BM719" s="1"/>
    </row>
    <row r="720" spans="62:65" ht="15.75" customHeight="1" x14ac:dyDescent="0.25">
      <c r="BJ720" s="6"/>
      <c r="BK720" s="7"/>
      <c r="BL720" s="1"/>
      <c r="BM720" s="1"/>
    </row>
    <row r="721" spans="62:65" ht="15.75" customHeight="1" x14ac:dyDescent="0.25">
      <c r="BJ721" s="6"/>
      <c r="BK721" s="7"/>
      <c r="BL721" s="1"/>
      <c r="BM721" s="1"/>
    </row>
    <row r="722" spans="62:65" ht="15.75" customHeight="1" x14ac:dyDescent="0.25">
      <c r="BJ722" s="6"/>
      <c r="BK722" s="7"/>
      <c r="BL722" s="1"/>
      <c r="BM722" s="1"/>
    </row>
    <row r="723" spans="62:65" ht="15.75" customHeight="1" x14ac:dyDescent="0.25">
      <c r="BJ723" s="6"/>
      <c r="BK723" s="7"/>
      <c r="BL723" s="1"/>
      <c r="BM723" s="1"/>
    </row>
    <row r="724" spans="62:65" ht="15.75" customHeight="1" x14ac:dyDescent="0.25">
      <c r="BJ724" s="6"/>
      <c r="BK724" s="7"/>
      <c r="BL724" s="1"/>
      <c r="BM724" s="1"/>
    </row>
    <row r="725" spans="62:65" ht="15.75" customHeight="1" x14ac:dyDescent="0.25">
      <c r="BJ725" s="6"/>
      <c r="BK725" s="7"/>
      <c r="BL725" s="1"/>
      <c r="BM725" s="1"/>
    </row>
    <row r="726" spans="62:65" ht="15.75" customHeight="1" x14ac:dyDescent="0.25">
      <c r="BJ726" s="6"/>
      <c r="BK726" s="7"/>
      <c r="BL726" s="1"/>
      <c r="BM726" s="1"/>
    </row>
    <row r="727" spans="62:65" ht="15.75" customHeight="1" x14ac:dyDescent="0.25">
      <c r="BJ727" s="6"/>
      <c r="BK727" s="7"/>
      <c r="BL727" s="1"/>
      <c r="BM727" s="1"/>
    </row>
    <row r="728" spans="62:65" ht="15.75" customHeight="1" x14ac:dyDescent="0.25">
      <c r="BJ728" s="6"/>
      <c r="BK728" s="7"/>
      <c r="BL728" s="1"/>
      <c r="BM728" s="1"/>
    </row>
    <row r="729" spans="62:65" ht="15.75" customHeight="1" x14ac:dyDescent="0.25">
      <c r="BJ729" s="6"/>
      <c r="BK729" s="7"/>
      <c r="BL729" s="1"/>
      <c r="BM729" s="1"/>
    </row>
    <row r="730" spans="62:65" ht="15.75" customHeight="1" x14ac:dyDescent="0.25">
      <c r="BJ730" s="6"/>
      <c r="BK730" s="7"/>
      <c r="BL730" s="1"/>
      <c r="BM730" s="1"/>
    </row>
    <row r="731" spans="62:65" ht="15.75" customHeight="1" x14ac:dyDescent="0.25">
      <c r="BJ731" s="6"/>
      <c r="BK731" s="7"/>
      <c r="BL731" s="1"/>
      <c r="BM731" s="1"/>
    </row>
    <row r="732" spans="62:65" ht="15.75" customHeight="1" x14ac:dyDescent="0.25">
      <c r="BJ732" s="6"/>
      <c r="BK732" s="7"/>
      <c r="BL732" s="1"/>
      <c r="BM732" s="1"/>
    </row>
    <row r="733" spans="62:65" ht="15.75" customHeight="1" x14ac:dyDescent="0.25">
      <c r="BJ733" s="6"/>
      <c r="BK733" s="7"/>
      <c r="BL733" s="1"/>
      <c r="BM733" s="1"/>
    </row>
    <row r="734" spans="62:65" ht="15.75" customHeight="1" x14ac:dyDescent="0.25">
      <c r="BJ734" s="6"/>
      <c r="BK734" s="7"/>
      <c r="BL734" s="1"/>
      <c r="BM734" s="1"/>
    </row>
    <row r="735" spans="62:65" ht="15.75" customHeight="1" x14ac:dyDescent="0.25">
      <c r="BJ735" s="6"/>
      <c r="BK735" s="7"/>
      <c r="BL735" s="1"/>
      <c r="BM735" s="1"/>
    </row>
    <row r="736" spans="62:65" ht="15.75" customHeight="1" x14ac:dyDescent="0.25">
      <c r="BJ736" s="6"/>
      <c r="BK736" s="7"/>
      <c r="BL736" s="1"/>
      <c r="BM736" s="1"/>
    </row>
    <row r="737" spans="62:65" ht="15.75" customHeight="1" x14ac:dyDescent="0.25">
      <c r="BJ737" s="6"/>
      <c r="BK737" s="7"/>
      <c r="BL737" s="1"/>
      <c r="BM737" s="1"/>
    </row>
    <row r="738" spans="62:65" ht="15.75" customHeight="1" x14ac:dyDescent="0.25">
      <c r="BJ738" s="6"/>
      <c r="BK738" s="7"/>
      <c r="BL738" s="1"/>
      <c r="BM738" s="1"/>
    </row>
    <row r="739" spans="62:65" ht="15.75" customHeight="1" x14ac:dyDescent="0.25">
      <c r="BJ739" s="6"/>
      <c r="BK739" s="7"/>
      <c r="BL739" s="1"/>
      <c r="BM739" s="1"/>
    </row>
    <row r="740" spans="62:65" ht="15.75" customHeight="1" x14ac:dyDescent="0.25">
      <c r="BJ740" s="6"/>
      <c r="BK740" s="7"/>
      <c r="BL740" s="1"/>
      <c r="BM740" s="1"/>
    </row>
    <row r="741" spans="62:65" ht="15.75" customHeight="1" x14ac:dyDescent="0.25">
      <c r="BJ741" s="6"/>
      <c r="BK741" s="7"/>
      <c r="BL741" s="1"/>
      <c r="BM741" s="1"/>
    </row>
    <row r="742" spans="62:65" ht="15.75" customHeight="1" x14ac:dyDescent="0.25">
      <c r="BJ742" s="6"/>
      <c r="BK742" s="7"/>
      <c r="BL742" s="1"/>
      <c r="BM742" s="1"/>
    </row>
    <row r="743" spans="62:65" ht="15.75" customHeight="1" x14ac:dyDescent="0.25">
      <c r="BJ743" s="6"/>
      <c r="BK743" s="7"/>
      <c r="BL743" s="1"/>
      <c r="BM743" s="1"/>
    </row>
    <row r="744" spans="62:65" ht="15.75" customHeight="1" x14ac:dyDescent="0.25">
      <c r="BJ744" s="6"/>
      <c r="BK744" s="7"/>
      <c r="BL744" s="1"/>
      <c r="BM744" s="1"/>
    </row>
    <row r="745" spans="62:65" ht="15.75" customHeight="1" x14ac:dyDescent="0.25">
      <c r="BJ745" s="6"/>
      <c r="BK745" s="7"/>
      <c r="BL745" s="1"/>
      <c r="BM745" s="1"/>
    </row>
    <row r="746" spans="62:65" ht="15.75" customHeight="1" x14ac:dyDescent="0.25">
      <c r="BJ746" s="6"/>
      <c r="BK746" s="7"/>
      <c r="BL746" s="1"/>
      <c r="BM746" s="1"/>
    </row>
    <row r="747" spans="62:65" ht="15.75" customHeight="1" x14ac:dyDescent="0.25">
      <c r="BJ747" s="6"/>
      <c r="BK747" s="7"/>
      <c r="BL747" s="1"/>
      <c r="BM747" s="1"/>
    </row>
    <row r="748" spans="62:65" ht="15.75" customHeight="1" x14ac:dyDescent="0.25">
      <c r="BJ748" s="6"/>
      <c r="BK748" s="7"/>
      <c r="BL748" s="1"/>
      <c r="BM748" s="1"/>
    </row>
    <row r="749" spans="62:65" ht="15.75" customHeight="1" x14ac:dyDescent="0.25">
      <c r="BJ749" s="6"/>
      <c r="BK749" s="7"/>
      <c r="BL749" s="1"/>
      <c r="BM749" s="1"/>
    </row>
    <row r="750" spans="62:65" ht="15.75" customHeight="1" x14ac:dyDescent="0.25">
      <c r="BJ750" s="6"/>
      <c r="BK750" s="7"/>
      <c r="BL750" s="1"/>
      <c r="BM750" s="1"/>
    </row>
    <row r="751" spans="62:65" ht="15.75" customHeight="1" x14ac:dyDescent="0.25">
      <c r="BJ751" s="6"/>
      <c r="BK751" s="7"/>
      <c r="BL751" s="1"/>
      <c r="BM751" s="1"/>
    </row>
    <row r="752" spans="62:65" ht="15.75" customHeight="1" x14ac:dyDescent="0.25">
      <c r="BJ752" s="6"/>
      <c r="BK752" s="7"/>
      <c r="BL752" s="1"/>
      <c r="BM752" s="1"/>
    </row>
    <row r="753" spans="62:65" ht="15.75" customHeight="1" x14ac:dyDescent="0.25">
      <c r="BJ753" s="6"/>
      <c r="BK753" s="7"/>
      <c r="BL753" s="1"/>
      <c r="BM753" s="1"/>
    </row>
    <row r="754" spans="62:65" ht="15.75" customHeight="1" x14ac:dyDescent="0.25">
      <c r="BJ754" s="6"/>
      <c r="BK754" s="7"/>
      <c r="BL754" s="1"/>
      <c r="BM754" s="1"/>
    </row>
    <row r="755" spans="62:65" ht="15.75" customHeight="1" x14ac:dyDescent="0.25">
      <c r="BJ755" s="6"/>
      <c r="BK755" s="7"/>
      <c r="BL755" s="1"/>
      <c r="BM755" s="1"/>
    </row>
    <row r="756" spans="62:65" ht="15.75" customHeight="1" x14ac:dyDescent="0.25">
      <c r="BJ756" s="6"/>
      <c r="BK756" s="7"/>
      <c r="BL756" s="1"/>
      <c r="BM756" s="1"/>
    </row>
    <row r="757" spans="62:65" ht="15.75" customHeight="1" x14ac:dyDescent="0.25">
      <c r="BJ757" s="6"/>
      <c r="BK757" s="7"/>
      <c r="BL757" s="1"/>
      <c r="BM757" s="1"/>
    </row>
    <row r="758" spans="62:65" ht="15.75" customHeight="1" x14ac:dyDescent="0.25">
      <c r="BJ758" s="6"/>
      <c r="BK758" s="7"/>
      <c r="BL758" s="1"/>
      <c r="BM758" s="1"/>
    </row>
    <row r="759" spans="62:65" ht="15.75" customHeight="1" x14ac:dyDescent="0.25">
      <c r="BJ759" s="6"/>
      <c r="BK759" s="7"/>
      <c r="BL759" s="1"/>
      <c r="BM759" s="1"/>
    </row>
    <row r="760" spans="62:65" ht="15.75" customHeight="1" x14ac:dyDescent="0.25">
      <c r="BJ760" s="6"/>
      <c r="BK760" s="7"/>
      <c r="BL760" s="1"/>
      <c r="BM760" s="1"/>
    </row>
    <row r="761" spans="62:65" ht="15.75" customHeight="1" x14ac:dyDescent="0.25">
      <c r="BJ761" s="6"/>
      <c r="BK761" s="7"/>
      <c r="BL761" s="1"/>
      <c r="BM761" s="1"/>
    </row>
    <row r="762" spans="62:65" ht="15.75" customHeight="1" x14ac:dyDescent="0.25">
      <c r="BJ762" s="6"/>
      <c r="BK762" s="7"/>
      <c r="BL762" s="1"/>
      <c r="BM762" s="1"/>
    </row>
    <row r="763" spans="62:65" ht="15.75" customHeight="1" x14ac:dyDescent="0.25">
      <c r="BJ763" s="6"/>
      <c r="BK763" s="7"/>
      <c r="BL763" s="1"/>
      <c r="BM763" s="1"/>
    </row>
    <row r="764" spans="62:65" ht="15.75" customHeight="1" x14ac:dyDescent="0.25">
      <c r="BJ764" s="6"/>
      <c r="BK764" s="7"/>
      <c r="BL764" s="1"/>
      <c r="BM764" s="1"/>
    </row>
    <row r="765" spans="62:65" ht="15.75" customHeight="1" x14ac:dyDescent="0.25">
      <c r="BJ765" s="6"/>
      <c r="BK765" s="7"/>
      <c r="BL765" s="1"/>
      <c r="BM765" s="1"/>
    </row>
    <row r="766" spans="62:65" ht="15.75" customHeight="1" x14ac:dyDescent="0.25">
      <c r="BJ766" s="6"/>
      <c r="BK766" s="7"/>
      <c r="BL766" s="1"/>
      <c r="BM766" s="1"/>
    </row>
    <row r="767" spans="62:65" ht="15.75" customHeight="1" x14ac:dyDescent="0.25">
      <c r="BJ767" s="6"/>
      <c r="BK767" s="7"/>
      <c r="BL767" s="1"/>
      <c r="BM767" s="1"/>
    </row>
    <row r="768" spans="62:65" ht="15.75" customHeight="1" x14ac:dyDescent="0.25">
      <c r="BJ768" s="6"/>
      <c r="BK768" s="7"/>
      <c r="BL768" s="1"/>
      <c r="BM768" s="1"/>
    </row>
    <row r="769" spans="62:65" ht="15.75" customHeight="1" x14ac:dyDescent="0.25">
      <c r="BJ769" s="6"/>
      <c r="BK769" s="7"/>
      <c r="BL769" s="1"/>
      <c r="BM769" s="1"/>
    </row>
    <row r="770" spans="62:65" ht="15.75" customHeight="1" x14ac:dyDescent="0.25">
      <c r="BJ770" s="6"/>
      <c r="BK770" s="7"/>
      <c r="BL770" s="1"/>
      <c r="BM770" s="1"/>
    </row>
    <row r="771" spans="62:65" ht="15.75" customHeight="1" x14ac:dyDescent="0.25">
      <c r="BJ771" s="6"/>
      <c r="BK771" s="7"/>
      <c r="BL771" s="1"/>
      <c r="BM771" s="1"/>
    </row>
    <row r="772" spans="62:65" ht="15.75" customHeight="1" x14ac:dyDescent="0.25">
      <c r="BJ772" s="6"/>
      <c r="BK772" s="7"/>
      <c r="BL772" s="1"/>
      <c r="BM772" s="1"/>
    </row>
    <row r="773" spans="62:65" ht="15.75" customHeight="1" x14ac:dyDescent="0.25">
      <c r="BJ773" s="6"/>
      <c r="BK773" s="7"/>
      <c r="BL773" s="1"/>
      <c r="BM773" s="1"/>
    </row>
    <row r="774" spans="62:65" ht="15.75" customHeight="1" x14ac:dyDescent="0.25">
      <c r="BJ774" s="6"/>
      <c r="BK774" s="7"/>
      <c r="BL774" s="1"/>
      <c r="BM774" s="1"/>
    </row>
    <row r="775" spans="62:65" ht="15.75" customHeight="1" x14ac:dyDescent="0.25">
      <c r="BJ775" s="6"/>
      <c r="BK775" s="7"/>
      <c r="BL775" s="1"/>
      <c r="BM775" s="1"/>
    </row>
    <row r="776" spans="62:65" ht="15.75" customHeight="1" x14ac:dyDescent="0.25">
      <c r="BJ776" s="6"/>
      <c r="BK776" s="7"/>
      <c r="BL776" s="1"/>
      <c r="BM776" s="1"/>
    </row>
    <row r="777" spans="62:65" ht="15.75" customHeight="1" x14ac:dyDescent="0.25">
      <c r="BJ777" s="6"/>
      <c r="BK777" s="7"/>
      <c r="BL777" s="1"/>
      <c r="BM777" s="1"/>
    </row>
    <row r="778" spans="62:65" ht="15.75" customHeight="1" x14ac:dyDescent="0.25">
      <c r="BJ778" s="6"/>
      <c r="BK778" s="7"/>
      <c r="BL778" s="1"/>
      <c r="BM778" s="1"/>
    </row>
    <row r="779" spans="62:65" ht="15.75" customHeight="1" x14ac:dyDescent="0.25">
      <c r="BJ779" s="6"/>
      <c r="BK779" s="7"/>
      <c r="BL779" s="1"/>
      <c r="BM779" s="1"/>
    </row>
    <row r="780" spans="62:65" ht="15.75" customHeight="1" x14ac:dyDescent="0.25">
      <c r="BJ780" s="6"/>
      <c r="BK780" s="7"/>
      <c r="BL780" s="1"/>
      <c r="BM780" s="1"/>
    </row>
    <row r="781" spans="62:65" ht="15.75" customHeight="1" x14ac:dyDescent="0.25">
      <c r="BJ781" s="6"/>
      <c r="BK781" s="7"/>
      <c r="BL781" s="1"/>
      <c r="BM781" s="1"/>
    </row>
    <row r="782" spans="62:65" ht="15.75" customHeight="1" x14ac:dyDescent="0.25">
      <c r="BJ782" s="6"/>
      <c r="BK782" s="7"/>
      <c r="BL782" s="1"/>
      <c r="BM782" s="1"/>
    </row>
    <row r="783" spans="62:65" ht="15.75" customHeight="1" x14ac:dyDescent="0.25">
      <c r="BJ783" s="6"/>
      <c r="BK783" s="7"/>
      <c r="BL783" s="1"/>
      <c r="BM783" s="1"/>
    </row>
    <row r="784" spans="62:65" ht="15.75" customHeight="1" x14ac:dyDescent="0.25">
      <c r="BJ784" s="6"/>
      <c r="BK784" s="7"/>
      <c r="BL784" s="1"/>
      <c r="BM784" s="1"/>
    </row>
    <row r="785" spans="62:65" ht="15.75" customHeight="1" x14ac:dyDescent="0.25">
      <c r="BJ785" s="6"/>
      <c r="BK785" s="7"/>
      <c r="BL785" s="1"/>
      <c r="BM785" s="1"/>
    </row>
    <row r="786" spans="62:65" ht="15.75" customHeight="1" x14ac:dyDescent="0.25">
      <c r="BJ786" s="6"/>
      <c r="BK786" s="7"/>
      <c r="BL786" s="1"/>
      <c r="BM786" s="1"/>
    </row>
    <row r="787" spans="62:65" ht="15.75" customHeight="1" x14ac:dyDescent="0.25">
      <c r="BJ787" s="6"/>
      <c r="BK787" s="7"/>
      <c r="BL787" s="1"/>
      <c r="BM787" s="1"/>
    </row>
    <row r="788" spans="62:65" ht="15.75" customHeight="1" x14ac:dyDescent="0.25">
      <c r="BJ788" s="6"/>
      <c r="BK788" s="7"/>
      <c r="BL788" s="1"/>
      <c r="BM788" s="1"/>
    </row>
    <row r="789" spans="62:65" ht="15.75" customHeight="1" x14ac:dyDescent="0.25">
      <c r="BJ789" s="6"/>
      <c r="BK789" s="7"/>
      <c r="BL789" s="1"/>
      <c r="BM789" s="1"/>
    </row>
    <row r="790" spans="62:65" ht="15.75" customHeight="1" x14ac:dyDescent="0.25">
      <c r="BJ790" s="6"/>
      <c r="BK790" s="7"/>
      <c r="BL790" s="1"/>
      <c r="BM790" s="1"/>
    </row>
    <row r="791" spans="62:65" ht="15.75" customHeight="1" x14ac:dyDescent="0.25">
      <c r="BJ791" s="6"/>
      <c r="BK791" s="7"/>
      <c r="BL791" s="1"/>
      <c r="BM791" s="1"/>
    </row>
    <row r="792" spans="62:65" ht="15.75" customHeight="1" x14ac:dyDescent="0.25">
      <c r="BJ792" s="6"/>
      <c r="BK792" s="7"/>
      <c r="BL792" s="1"/>
      <c r="BM792" s="1"/>
    </row>
    <row r="793" spans="62:65" ht="15.75" customHeight="1" x14ac:dyDescent="0.25">
      <c r="BJ793" s="6"/>
      <c r="BK793" s="7"/>
      <c r="BL793" s="1"/>
      <c r="BM793" s="1"/>
    </row>
    <row r="794" spans="62:65" ht="15.75" customHeight="1" x14ac:dyDescent="0.25">
      <c r="BJ794" s="6"/>
      <c r="BK794" s="7"/>
      <c r="BL794" s="1"/>
      <c r="BM794" s="1"/>
    </row>
    <row r="795" spans="62:65" ht="15.75" customHeight="1" x14ac:dyDescent="0.25">
      <c r="BJ795" s="6"/>
      <c r="BK795" s="7"/>
      <c r="BL795" s="1"/>
      <c r="BM795" s="1"/>
    </row>
    <row r="796" spans="62:65" ht="15.75" customHeight="1" x14ac:dyDescent="0.25">
      <c r="BJ796" s="6"/>
      <c r="BK796" s="7"/>
      <c r="BL796" s="1"/>
      <c r="BM796" s="1"/>
    </row>
    <row r="797" spans="62:65" ht="15.75" customHeight="1" x14ac:dyDescent="0.25">
      <c r="BJ797" s="6"/>
      <c r="BK797" s="7"/>
      <c r="BL797" s="1"/>
      <c r="BM797" s="1"/>
    </row>
    <row r="798" spans="62:65" ht="15.75" customHeight="1" x14ac:dyDescent="0.25">
      <c r="BJ798" s="6"/>
      <c r="BK798" s="7"/>
      <c r="BL798" s="1"/>
      <c r="BM798" s="1"/>
    </row>
    <row r="799" spans="62:65" ht="15.75" customHeight="1" x14ac:dyDescent="0.25">
      <c r="BJ799" s="6"/>
      <c r="BK799" s="7"/>
      <c r="BL799" s="1"/>
      <c r="BM799" s="1"/>
    </row>
    <row r="800" spans="62:65" ht="15.75" customHeight="1" x14ac:dyDescent="0.25">
      <c r="BJ800" s="6"/>
      <c r="BK800" s="7"/>
      <c r="BL800" s="1"/>
      <c r="BM800" s="1"/>
    </row>
    <row r="801" spans="62:65" ht="15.75" customHeight="1" x14ac:dyDescent="0.25">
      <c r="BJ801" s="6"/>
      <c r="BK801" s="7"/>
      <c r="BL801" s="1"/>
      <c r="BM801" s="1"/>
    </row>
    <row r="802" spans="62:65" ht="15.75" customHeight="1" x14ac:dyDescent="0.25">
      <c r="BJ802" s="6"/>
      <c r="BK802" s="7"/>
      <c r="BL802" s="1"/>
      <c r="BM802" s="1"/>
    </row>
    <row r="803" spans="62:65" ht="15.75" customHeight="1" x14ac:dyDescent="0.25">
      <c r="BJ803" s="6"/>
      <c r="BK803" s="7"/>
      <c r="BL803" s="1"/>
      <c r="BM803" s="1"/>
    </row>
    <row r="804" spans="62:65" ht="15.75" customHeight="1" x14ac:dyDescent="0.25">
      <c r="BJ804" s="6"/>
      <c r="BK804" s="7"/>
      <c r="BL804" s="1"/>
      <c r="BM804" s="1"/>
    </row>
    <row r="805" spans="62:65" ht="15.75" customHeight="1" x14ac:dyDescent="0.25">
      <c r="BJ805" s="6"/>
      <c r="BK805" s="7"/>
      <c r="BL805" s="1"/>
      <c r="BM805" s="1"/>
    </row>
    <row r="806" spans="62:65" ht="15.75" customHeight="1" x14ac:dyDescent="0.25">
      <c r="BJ806" s="6"/>
      <c r="BK806" s="7"/>
      <c r="BL806" s="1"/>
      <c r="BM806" s="1"/>
    </row>
    <row r="807" spans="62:65" ht="15.75" customHeight="1" x14ac:dyDescent="0.25">
      <c r="BJ807" s="6"/>
      <c r="BK807" s="7"/>
      <c r="BL807" s="1"/>
      <c r="BM807" s="1"/>
    </row>
    <row r="808" spans="62:65" ht="15.75" customHeight="1" x14ac:dyDescent="0.25">
      <c r="BJ808" s="6"/>
      <c r="BK808" s="7"/>
      <c r="BL808" s="1"/>
      <c r="BM808" s="1"/>
    </row>
    <row r="809" spans="62:65" ht="15.75" customHeight="1" x14ac:dyDescent="0.25">
      <c r="BJ809" s="6"/>
      <c r="BK809" s="7"/>
      <c r="BL809" s="1"/>
      <c r="BM809" s="1"/>
    </row>
    <row r="810" spans="62:65" ht="15.75" customHeight="1" x14ac:dyDescent="0.25">
      <c r="BJ810" s="6"/>
      <c r="BK810" s="7"/>
      <c r="BL810" s="1"/>
      <c r="BM810" s="1"/>
    </row>
    <row r="811" spans="62:65" ht="15.75" customHeight="1" x14ac:dyDescent="0.25">
      <c r="BJ811" s="6"/>
      <c r="BK811" s="7"/>
      <c r="BL811" s="1"/>
      <c r="BM811" s="1"/>
    </row>
    <row r="812" spans="62:65" ht="15.75" customHeight="1" x14ac:dyDescent="0.25">
      <c r="BJ812" s="6"/>
      <c r="BK812" s="7"/>
      <c r="BL812" s="1"/>
      <c r="BM812" s="1"/>
    </row>
    <row r="813" spans="62:65" ht="15.75" customHeight="1" x14ac:dyDescent="0.25">
      <c r="BJ813" s="6"/>
      <c r="BK813" s="7"/>
      <c r="BL813" s="1"/>
      <c r="BM813" s="1"/>
    </row>
    <row r="814" spans="62:65" ht="15.75" customHeight="1" x14ac:dyDescent="0.25">
      <c r="BJ814" s="6"/>
      <c r="BK814" s="7"/>
      <c r="BL814" s="1"/>
      <c r="BM814" s="1"/>
    </row>
    <row r="815" spans="62:65" ht="15.75" customHeight="1" x14ac:dyDescent="0.25">
      <c r="BJ815" s="6"/>
      <c r="BK815" s="7"/>
      <c r="BL815" s="1"/>
      <c r="BM815" s="1"/>
    </row>
    <row r="816" spans="62:65" ht="15.75" customHeight="1" x14ac:dyDescent="0.25">
      <c r="BJ816" s="6"/>
      <c r="BK816" s="7"/>
      <c r="BL816" s="1"/>
      <c r="BM816" s="1"/>
    </row>
    <row r="817" spans="62:65" ht="15.75" customHeight="1" x14ac:dyDescent="0.25">
      <c r="BJ817" s="6"/>
      <c r="BK817" s="7"/>
      <c r="BL817" s="1"/>
      <c r="BM817" s="1"/>
    </row>
    <row r="818" spans="62:65" ht="15.75" customHeight="1" x14ac:dyDescent="0.25">
      <c r="BJ818" s="6"/>
      <c r="BK818" s="7"/>
      <c r="BL818" s="1"/>
      <c r="BM818" s="1"/>
    </row>
    <row r="819" spans="62:65" ht="15.75" customHeight="1" x14ac:dyDescent="0.25">
      <c r="BJ819" s="6"/>
      <c r="BK819" s="7"/>
      <c r="BL819" s="1"/>
      <c r="BM819" s="1"/>
    </row>
    <row r="820" spans="62:65" ht="15.75" customHeight="1" x14ac:dyDescent="0.25">
      <c r="BJ820" s="6"/>
      <c r="BK820" s="7"/>
      <c r="BL820" s="1"/>
      <c r="BM820" s="1"/>
    </row>
    <row r="821" spans="62:65" ht="15.75" customHeight="1" x14ac:dyDescent="0.25">
      <c r="BJ821" s="6"/>
      <c r="BK821" s="7"/>
      <c r="BL821" s="1"/>
      <c r="BM821" s="1"/>
    </row>
    <row r="822" spans="62:65" ht="15.75" customHeight="1" x14ac:dyDescent="0.25">
      <c r="BJ822" s="6"/>
      <c r="BK822" s="7"/>
      <c r="BL822" s="1"/>
      <c r="BM822" s="1"/>
    </row>
    <row r="823" spans="62:65" ht="15.75" customHeight="1" x14ac:dyDescent="0.25">
      <c r="BJ823" s="6"/>
      <c r="BK823" s="7"/>
      <c r="BL823" s="1"/>
      <c r="BM823" s="1"/>
    </row>
    <row r="824" spans="62:65" ht="15.75" customHeight="1" x14ac:dyDescent="0.25">
      <c r="BJ824" s="6"/>
      <c r="BK824" s="7"/>
      <c r="BL824" s="1"/>
      <c r="BM824" s="1"/>
    </row>
    <row r="825" spans="62:65" ht="15.75" customHeight="1" x14ac:dyDescent="0.25">
      <c r="BJ825" s="6"/>
      <c r="BK825" s="7"/>
      <c r="BL825" s="1"/>
      <c r="BM825" s="1"/>
    </row>
    <row r="826" spans="62:65" ht="15.75" customHeight="1" x14ac:dyDescent="0.25">
      <c r="BJ826" s="6"/>
      <c r="BK826" s="7"/>
      <c r="BL826" s="1"/>
      <c r="BM826" s="1"/>
    </row>
    <row r="827" spans="62:65" ht="15.75" customHeight="1" x14ac:dyDescent="0.25">
      <c r="BJ827" s="6"/>
      <c r="BK827" s="7"/>
      <c r="BL827" s="1"/>
      <c r="BM827" s="1"/>
    </row>
    <row r="828" spans="62:65" ht="15.75" customHeight="1" x14ac:dyDescent="0.25">
      <c r="BJ828" s="6"/>
      <c r="BK828" s="7"/>
      <c r="BL828" s="1"/>
      <c r="BM828" s="1"/>
    </row>
    <row r="829" spans="62:65" ht="15.75" customHeight="1" x14ac:dyDescent="0.25">
      <c r="BJ829" s="6"/>
      <c r="BK829" s="7"/>
      <c r="BL829" s="1"/>
      <c r="BM829" s="1"/>
    </row>
    <row r="830" spans="62:65" ht="15.75" customHeight="1" x14ac:dyDescent="0.25">
      <c r="BJ830" s="6"/>
      <c r="BK830" s="7"/>
      <c r="BL830" s="1"/>
      <c r="BM830" s="1"/>
    </row>
    <row r="831" spans="62:65" ht="15.75" customHeight="1" x14ac:dyDescent="0.25">
      <c r="BJ831" s="6"/>
      <c r="BK831" s="7"/>
      <c r="BL831" s="1"/>
      <c r="BM831" s="1"/>
    </row>
    <row r="832" spans="62:65" ht="15.75" customHeight="1" x14ac:dyDescent="0.25">
      <c r="BJ832" s="6"/>
      <c r="BK832" s="7"/>
      <c r="BL832" s="1"/>
      <c r="BM832" s="1"/>
    </row>
    <row r="833" spans="62:65" ht="15.75" customHeight="1" x14ac:dyDescent="0.25">
      <c r="BJ833" s="6"/>
      <c r="BK833" s="7"/>
      <c r="BL833" s="1"/>
      <c r="BM833" s="1"/>
    </row>
    <row r="834" spans="62:65" ht="15.75" customHeight="1" x14ac:dyDescent="0.25">
      <c r="BJ834" s="6"/>
      <c r="BK834" s="7"/>
      <c r="BL834" s="1"/>
      <c r="BM834" s="1"/>
    </row>
    <row r="835" spans="62:65" ht="15.75" customHeight="1" x14ac:dyDescent="0.25">
      <c r="BJ835" s="6"/>
      <c r="BK835" s="7"/>
      <c r="BL835" s="1"/>
      <c r="BM835" s="1"/>
    </row>
    <row r="836" spans="62:65" ht="15.75" customHeight="1" x14ac:dyDescent="0.25">
      <c r="BJ836" s="6"/>
      <c r="BK836" s="7"/>
      <c r="BL836" s="1"/>
      <c r="BM836" s="1"/>
    </row>
    <row r="837" spans="62:65" ht="15.75" customHeight="1" x14ac:dyDescent="0.25">
      <c r="BJ837" s="6"/>
      <c r="BK837" s="7"/>
      <c r="BL837" s="1"/>
      <c r="BM837" s="1"/>
    </row>
    <row r="838" spans="62:65" ht="15.75" customHeight="1" x14ac:dyDescent="0.25">
      <c r="BJ838" s="6"/>
      <c r="BK838" s="7"/>
      <c r="BL838" s="1"/>
      <c r="BM838" s="1"/>
    </row>
    <row r="839" spans="62:65" ht="15.75" customHeight="1" x14ac:dyDescent="0.25">
      <c r="BJ839" s="6"/>
      <c r="BK839" s="7"/>
      <c r="BL839" s="1"/>
      <c r="BM839" s="1"/>
    </row>
    <row r="840" spans="62:65" ht="15.75" customHeight="1" x14ac:dyDescent="0.25">
      <c r="BJ840" s="6"/>
      <c r="BK840" s="7"/>
      <c r="BL840" s="1"/>
      <c r="BM840" s="1"/>
    </row>
    <row r="841" spans="62:65" ht="15.75" customHeight="1" x14ac:dyDescent="0.25">
      <c r="BJ841" s="6"/>
      <c r="BK841" s="7"/>
      <c r="BL841" s="1"/>
      <c r="BM841" s="1"/>
    </row>
    <row r="842" spans="62:65" ht="15.75" customHeight="1" x14ac:dyDescent="0.25">
      <c r="BJ842" s="6"/>
      <c r="BK842" s="7"/>
      <c r="BL842" s="1"/>
      <c r="BM842" s="1"/>
    </row>
    <row r="843" spans="62:65" ht="15.75" customHeight="1" x14ac:dyDescent="0.25">
      <c r="BJ843" s="6"/>
      <c r="BK843" s="7"/>
      <c r="BL843" s="1"/>
      <c r="BM843" s="1"/>
    </row>
    <row r="844" spans="62:65" ht="15.75" customHeight="1" x14ac:dyDescent="0.25">
      <c r="BJ844" s="6"/>
      <c r="BK844" s="7"/>
      <c r="BL844" s="1"/>
      <c r="BM844" s="1"/>
    </row>
    <row r="845" spans="62:65" ht="15.75" customHeight="1" x14ac:dyDescent="0.25">
      <c r="BJ845" s="6"/>
      <c r="BK845" s="7"/>
      <c r="BL845" s="1"/>
      <c r="BM845" s="1"/>
    </row>
    <row r="846" spans="62:65" ht="15.75" customHeight="1" x14ac:dyDescent="0.25">
      <c r="BJ846" s="6"/>
      <c r="BK846" s="7"/>
      <c r="BL846" s="1"/>
      <c r="BM846" s="1"/>
    </row>
    <row r="847" spans="62:65" ht="15.75" customHeight="1" x14ac:dyDescent="0.25">
      <c r="BJ847" s="6"/>
      <c r="BK847" s="7"/>
      <c r="BL847" s="1"/>
      <c r="BM847" s="1"/>
    </row>
    <row r="848" spans="62:65" ht="15.75" customHeight="1" x14ac:dyDescent="0.25">
      <c r="BJ848" s="6"/>
      <c r="BK848" s="7"/>
      <c r="BL848" s="1"/>
      <c r="BM848" s="1"/>
    </row>
    <row r="849" spans="62:65" ht="15.75" customHeight="1" x14ac:dyDescent="0.25">
      <c r="BJ849" s="6"/>
      <c r="BK849" s="7"/>
      <c r="BL849" s="1"/>
      <c r="BM849" s="1"/>
    </row>
    <row r="850" spans="62:65" ht="15.75" customHeight="1" x14ac:dyDescent="0.25">
      <c r="BJ850" s="6"/>
      <c r="BK850" s="7"/>
      <c r="BL850" s="1"/>
      <c r="BM850" s="1"/>
    </row>
    <row r="851" spans="62:65" ht="15.75" customHeight="1" x14ac:dyDescent="0.25">
      <c r="BJ851" s="6"/>
      <c r="BK851" s="7"/>
      <c r="BL851" s="1"/>
      <c r="BM851" s="1"/>
    </row>
    <row r="852" spans="62:65" ht="15.75" customHeight="1" x14ac:dyDescent="0.25">
      <c r="BJ852" s="6"/>
      <c r="BK852" s="7"/>
      <c r="BL852" s="1"/>
      <c r="BM852" s="1"/>
    </row>
    <row r="853" spans="62:65" ht="15.75" customHeight="1" x14ac:dyDescent="0.25">
      <c r="BJ853" s="6"/>
      <c r="BK853" s="7"/>
      <c r="BL853" s="1"/>
      <c r="BM853" s="1"/>
    </row>
    <row r="854" spans="62:65" ht="15.75" customHeight="1" x14ac:dyDescent="0.25">
      <c r="BJ854" s="6"/>
      <c r="BK854" s="7"/>
      <c r="BL854" s="1"/>
      <c r="BM854" s="1"/>
    </row>
    <row r="855" spans="62:65" ht="15.75" customHeight="1" x14ac:dyDescent="0.25">
      <c r="BJ855" s="6"/>
      <c r="BK855" s="7"/>
      <c r="BL855" s="1"/>
      <c r="BM855" s="1"/>
    </row>
    <row r="856" spans="62:65" ht="15.75" customHeight="1" x14ac:dyDescent="0.25">
      <c r="BJ856" s="6"/>
      <c r="BK856" s="7"/>
      <c r="BL856" s="1"/>
      <c r="BM856" s="1"/>
    </row>
    <row r="857" spans="62:65" ht="15.75" customHeight="1" x14ac:dyDescent="0.25">
      <c r="BJ857" s="6"/>
      <c r="BK857" s="7"/>
      <c r="BL857" s="1"/>
      <c r="BM857" s="1"/>
    </row>
    <row r="858" spans="62:65" ht="15.75" customHeight="1" x14ac:dyDescent="0.25">
      <c r="BJ858" s="6"/>
      <c r="BK858" s="7"/>
      <c r="BL858" s="1"/>
      <c r="BM858" s="1"/>
    </row>
    <row r="859" spans="62:65" ht="15.75" customHeight="1" x14ac:dyDescent="0.25">
      <c r="BJ859" s="6"/>
      <c r="BK859" s="7"/>
      <c r="BL859" s="1"/>
      <c r="BM859" s="1"/>
    </row>
    <row r="860" spans="62:65" ht="15.75" customHeight="1" x14ac:dyDescent="0.25">
      <c r="BJ860" s="6"/>
      <c r="BK860" s="7"/>
      <c r="BL860" s="1"/>
      <c r="BM860" s="1"/>
    </row>
    <row r="861" spans="62:65" ht="15.75" customHeight="1" x14ac:dyDescent="0.25">
      <c r="BJ861" s="6"/>
      <c r="BK861" s="7"/>
      <c r="BL861" s="1"/>
      <c r="BM861" s="1"/>
    </row>
    <row r="862" spans="62:65" ht="15.75" customHeight="1" x14ac:dyDescent="0.25">
      <c r="BJ862" s="6"/>
      <c r="BK862" s="7"/>
      <c r="BL862" s="1"/>
      <c r="BM862" s="1"/>
    </row>
    <row r="863" spans="62:65" ht="15.75" customHeight="1" x14ac:dyDescent="0.25">
      <c r="BJ863" s="6"/>
      <c r="BK863" s="7"/>
      <c r="BL863" s="1"/>
      <c r="BM863" s="1"/>
    </row>
    <row r="864" spans="62:65" ht="15.75" customHeight="1" x14ac:dyDescent="0.25">
      <c r="BJ864" s="6"/>
      <c r="BK864" s="7"/>
      <c r="BL864" s="1"/>
      <c r="BM864" s="1"/>
    </row>
    <row r="865" spans="62:65" ht="15.75" customHeight="1" x14ac:dyDescent="0.25">
      <c r="BJ865" s="6"/>
      <c r="BK865" s="7"/>
      <c r="BL865" s="1"/>
      <c r="BM865" s="1"/>
    </row>
    <row r="866" spans="62:65" ht="15.75" customHeight="1" x14ac:dyDescent="0.25">
      <c r="BJ866" s="6"/>
      <c r="BK866" s="7"/>
      <c r="BL866" s="1"/>
      <c r="BM866" s="1"/>
    </row>
    <row r="867" spans="62:65" ht="15.75" customHeight="1" x14ac:dyDescent="0.25">
      <c r="BJ867" s="6"/>
      <c r="BK867" s="7"/>
      <c r="BL867" s="1"/>
      <c r="BM867" s="1"/>
    </row>
    <row r="868" spans="62:65" ht="15.75" customHeight="1" x14ac:dyDescent="0.25">
      <c r="BJ868" s="6"/>
      <c r="BK868" s="7"/>
      <c r="BL868" s="1"/>
      <c r="BM868" s="1"/>
    </row>
    <row r="869" spans="62:65" ht="15.75" customHeight="1" x14ac:dyDescent="0.25">
      <c r="BJ869" s="6"/>
      <c r="BK869" s="7"/>
      <c r="BL869" s="1"/>
      <c r="BM869" s="1"/>
    </row>
    <row r="870" spans="62:65" ht="15.75" customHeight="1" x14ac:dyDescent="0.25">
      <c r="BJ870" s="6"/>
      <c r="BK870" s="7"/>
      <c r="BL870" s="1"/>
      <c r="BM870" s="1"/>
    </row>
    <row r="871" spans="62:65" ht="15.75" customHeight="1" x14ac:dyDescent="0.25">
      <c r="BJ871" s="6"/>
      <c r="BK871" s="7"/>
      <c r="BL871" s="1"/>
      <c r="BM871" s="1"/>
    </row>
    <row r="872" spans="62:65" ht="15.75" customHeight="1" x14ac:dyDescent="0.25">
      <c r="BJ872" s="6"/>
      <c r="BK872" s="7"/>
      <c r="BL872" s="1"/>
      <c r="BM872" s="1"/>
    </row>
    <row r="873" spans="62:65" ht="15.75" customHeight="1" x14ac:dyDescent="0.25">
      <c r="BJ873" s="6"/>
      <c r="BK873" s="7"/>
      <c r="BL873" s="1"/>
      <c r="BM873" s="1"/>
    </row>
    <row r="874" spans="62:65" ht="15.75" customHeight="1" x14ac:dyDescent="0.25">
      <c r="BJ874" s="6"/>
      <c r="BK874" s="7"/>
      <c r="BL874" s="1"/>
      <c r="BM874" s="1"/>
    </row>
    <row r="875" spans="62:65" ht="15.75" customHeight="1" x14ac:dyDescent="0.25">
      <c r="BJ875" s="6"/>
      <c r="BK875" s="7"/>
      <c r="BL875" s="1"/>
      <c r="BM875" s="1"/>
    </row>
    <row r="876" spans="62:65" ht="15.75" customHeight="1" x14ac:dyDescent="0.25">
      <c r="BJ876" s="6"/>
      <c r="BK876" s="7"/>
      <c r="BL876" s="1"/>
      <c r="BM876" s="1"/>
    </row>
    <row r="877" spans="62:65" ht="15.75" customHeight="1" x14ac:dyDescent="0.25">
      <c r="BJ877" s="6"/>
      <c r="BK877" s="7"/>
      <c r="BL877" s="1"/>
      <c r="BM877" s="1"/>
    </row>
    <row r="878" spans="62:65" ht="15.75" customHeight="1" x14ac:dyDescent="0.25">
      <c r="BJ878" s="6"/>
      <c r="BK878" s="7"/>
      <c r="BL878" s="1"/>
      <c r="BM878" s="1"/>
    </row>
    <row r="879" spans="62:65" ht="15.75" customHeight="1" x14ac:dyDescent="0.25">
      <c r="BJ879" s="6"/>
      <c r="BK879" s="7"/>
      <c r="BL879" s="1"/>
      <c r="BM879" s="1"/>
    </row>
    <row r="880" spans="62:65" ht="15.75" customHeight="1" x14ac:dyDescent="0.25">
      <c r="BJ880" s="6"/>
      <c r="BK880" s="7"/>
      <c r="BL880" s="1"/>
      <c r="BM880" s="1"/>
    </row>
    <row r="881" spans="62:65" ht="15.75" customHeight="1" x14ac:dyDescent="0.25">
      <c r="BJ881" s="6"/>
      <c r="BK881" s="7"/>
      <c r="BL881" s="1"/>
      <c r="BM881" s="1"/>
    </row>
    <row r="882" spans="62:65" ht="15.75" customHeight="1" x14ac:dyDescent="0.25">
      <c r="BJ882" s="6"/>
      <c r="BK882" s="7"/>
      <c r="BL882" s="1"/>
      <c r="BM882" s="1"/>
    </row>
    <row r="883" spans="62:65" ht="15.75" customHeight="1" x14ac:dyDescent="0.25">
      <c r="BJ883" s="6"/>
      <c r="BK883" s="7"/>
      <c r="BL883" s="1"/>
      <c r="BM883" s="1"/>
    </row>
    <row r="884" spans="62:65" ht="15.75" customHeight="1" x14ac:dyDescent="0.25">
      <c r="BJ884" s="6"/>
      <c r="BK884" s="7"/>
      <c r="BL884" s="1"/>
      <c r="BM884" s="1"/>
    </row>
    <row r="885" spans="62:65" ht="15.75" customHeight="1" x14ac:dyDescent="0.25">
      <c r="BJ885" s="6"/>
      <c r="BK885" s="7"/>
      <c r="BL885" s="1"/>
      <c r="BM885" s="1"/>
    </row>
    <row r="886" spans="62:65" ht="15.75" customHeight="1" x14ac:dyDescent="0.25">
      <c r="BJ886" s="6"/>
      <c r="BK886" s="7"/>
      <c r="BL886" s="1"/>
      <c r="BM886" s="1"/>
    </row>
    <row r="887" spans="62:65" ht="15.75" customHeight="1" x14ac:dyDescent="0.25">
      <c r="BJ887" s="6"/>
      <c r="BK887" s="7"/>
      <c r="BL887" s="1"/>
      <c r="BM887" s="1"/>
    </row>
    <row r="888" spans="62:65" ht="15.75" customHeight="1" x14ac:dyDescent="0.25">
      <c r="BJ888" s="6"/>
      <c r="BK888" s="7"/>
      <c r="BL888" s="1"/>
      <c r="BM888" s="1"/>
    </row>
    <row r="889" spans="62:65" ht="15.75" customHeight="1" x14ac:dyDescent="0.25">
      <c r="BJ889" s="6"/>
      <c r="BK889" s="7"/>
      <c r="BL889" s="1"/>
      <c r="BM889" s="1"/>
    </row>
    <row r="890" spans="62:65" ht="15.75" customHeight="1" x14ac:dyDescent="0.25">
      <c r="BJ890" s="6"/>
      <c r="BK890" s="7"/>
      <c r="BL890" s="1"/>
      <c r="BM890" s="1"/>
    </row>
    <row r="891" spans="62:65" ht="15.75" customHeight="1" x14ac:dyDescent="0.25">
      <c r="BJ891" s="6"/>
      <c r="BK891" s="7"/>
      <c r="BL891" s="1"/>
      <c r="BM891" s="1"/>
    </row>
    <row r="892" spans="62:65" ht="15.75" customHeight="1" x14ac:dyDescent="0.25">
      <c r="BJ892" s="6"/>
      <c r="BK892" s="7"/>
      <c r="BL892" s="1"/>
      <c r="BM892" s="1"/>
    </row>
    <row r="893" spans="62:65" ht="15.75" customHeight="1" x14ac:dyDescent="0.25">
      <c r="BJ893" s="6"/>
      <c r="BK893" s="7"/>
      <c r="BL893" s="1"/>
      <c r="BM893" s="1"/>
    </row>
    <row r="894" spans="62:65" ht="15.75" customHeight="1" x14ac:dyDescent="0.25">
      <c r="BJ894" s="6"/>
      <c r="BK894" s="7"/>
      <c r="BL894" s="1"/>
      <c r="BM894" s="1"/>
    </row>
    <row r="895" spans="62:65" ht="15.75" customHeight="1" x14ac:dyDescent="0.25">
      <c r="BJ895" s="6"/>
      <c r="BK895" s="7"/>
      <c r="BL895" s="1"/>
      <c r="BM895" s="1"/>
    </row>
    <row r="896" spans="62:65" ht="15.75" customHeight="1" x14ac:dyDescent="0.25">
      <c r="BJ896" s="6"/>
      <c r="BK896" s="7"/>
      <c r="BL896" s="1"/>
      <c r="BM896" s="1"/>
    </row>
    <row r="897" spans="62:65" ht="15.75" customHeight="1" x14ac:dyDescent="0.25">
      <c r="BJ897" s="6"/>
      <c r="BK897" s="7"/>
      <c r="BL897" s="1"/>
      <c r="BM897" s="1"/>
    </row>
    <row r="898" spans="62:65" ht="15.75" customHeight="1" x14ac:dyDescent="0.25">
      <c r="BJ898" s="6"/>
      <c r="BK898" s="7"/>
      <c r="BL898" s="1"/>
      <c r="BM898" s="1"/>
    </row>
    <row r="899" spans="62:65" ht="15.75" customHeight="1" x14ac:dyDescent="0.25">
      <c r="BJ899" s="6"/>
      <c r="BK899" s="7"/>
      <c r="BL899" s="1"/>
      <c r="BM899" s="1"/>
    </row>
    <row r="900" spans="62:65" ht="15.75" customHeight="1" x14ac:dyDescent="0.25">
      <c r="BJ900" s="6"/>
      <c r="BK900" s="7"/>
      <c r="BL900" s="1"/>
      <c r="BM900" s="1"/>
    </row>
    <row r="901" spans="62:65" ht="15.75" customHeight="1" x14ac:dyDescent="0.25">
      <c r="BJ901" s="6"/>
      <c r="BK901" s="7"/>
      <c r="BL901" s="1"/>
      <c r="BM901" s="1"/>
    </row>
    <row r="902" spans="62:65" ht="15.75" customHeight="1" x14ac:dyDescent="0.25">
      <c r="BJ902" s="6"/>
      <c r="BK902" s="7"/>
      <c r="BL902" s="1"/>
      <c r="BM902" s="1"/>
    </row>
    <row r="903" spans="62:65" ht="15.75" customHeight="1" x14ac:dyDescent="0.25">
      <c r="BJ903" s="6"/>
      <c r="BK903" s="7"/>
      <c r="BL903" s="1"/>
      <c r="BM903" s="1"/>
    </row>
    <row r="904" spans="62:65" ht="15.75" customHeight="1" x14ac:dyDescent="0.25">
      <c r="BJ904" s="6"/>
      <c r="BK904" s="7"/>
      <c r="BL904" s="1"/>
      <c r="BM904" s="1"/>
    </row>
    <row r="905" spans="62:65" ht="15.75" customHeight="1" x14ac:dyDescent="0.25">
      <c r="BJ905" s="6"/>
      <c r="BK905" s="7"/>
      <c r="BL905" s="1"/>
      <c r="BM905" s="1"/>
    </row>
    <row r="906" spans="62:65" ht="15.75" customHeight="1" x14ac:dyDescent="0.25">
      <c r="BJ906" s="6"/>
      <c r="BK906" s="7"/>
      <c r="BL906" s="1"/>
      <c r="BM906" s="1"/>
    </row>
    <row r="907" spans="62:65" ht="15.75" customHeight="1" x14ac:dyDescent="0.25">
      <c r="BJ907" s="6"/>
      <c r="BK907" s="7"/>
      <c r="BL907" s="1"/>
      <c r="BM907" s="1"/>
    </row>
    <row r="908" spans="62:65" ht="15.75" customHeight="1" x14ac:dyDescent="0.25">
      <c r="BJ908" s="6"/>
      <c r="BK908" s="7"/>
      <c r="BL908" s="1"/>
      <c r="BM908" s="1"/>
    </row>
    <row r="909" spans="62:65" ht="15.75" customHeight="1" x14ac:dyDescent="0.25">
      <c r="BJ909" s="6"/>
      <c r="BK909" s="7"/>
      <c r="BL909" s="1"/>
      <c r="BM909" s="1"/>
    </row>
    <row r="910" spans="62:65" ht="15.75" customHeight="1" x14ac:dyDescent="0.25">
      <c r="BJ910" s="6"/>
      <c r="BK910" s="7"/>
      <c r="BL910" s="1"/>
      <c r="BM910" s="1"/>
    </row>
    <row r="911" spans="62:65" ht="15.75" customHeight="1" x14ac:dyDescent="0.25">
      <c r="BJ911" s="6"/>
      <c r="BK911" s="7"/>
      <c r="BL911" s="1"/>
      <c r="BM911" s="1"/>
    </row>
    <row r="912" spans="62:65" ht="15.75" customHeight="1" x14ac:dyDescent="0.25">
      <c r="BJ912" s="6"/>
      <c r="BK912" s="7"/>
      <c r="BL912" s="1"/>
      <c r="BM912" s="1"/>
    </row>
    <row r="913" spans="62:65" ht="15.75" customHeight="1" x14ac:dyDescent="0.25">
      <c r="BJ913" s="6"/>
      <c r="BK913" s="7"/>
      <c r="BL913" s="1"/>
      <c r="BM913" s="1"/>
    </row>
    <row r="914" spans="62:65" ht="15.75" customHeight="1" x14ac:dyDescent="0.25">
      <c r="BJ914" s="6"/>
      <c r="BK914" s="7"/>
      <c r="BL914" s="1"/>
      <c r="BM914" s="1"/>
    </row>
    <row r="915" spans="62:65" ht="15.75" customHeight="1" x14ac:dyDescent="0.25">
      <c r="BJ915" s="6"/>
      <c r="BK915" s="7"/>
      <c r="BL915" s="1"/>
      <c r="BM915" s="1"/>
    </row>
    <row r="916" spans="62:65" ht="15.75" customHeight="1" x14ac:dyDescent="0.25">
      <c r="BJ916" s="6"/>
      <c r="BK916" s="7"/>
      <c r="BL916" s="1"/>
      <c r="BM916" s="1"/>
    </row>
    <row r="917" spans="62:65" ht="15.75" customHeight="1" x14ac:dyDescent="0.25">
      <c r="BJ917" s="6"/>
      <c r="BK917" s="7"/>
      <c r="BL917" s="1"/>
      <c r="BM917" s="1"/>
    </row>
    <row r="918" spans="62:65" ht="15.75" customHeight="1" x14ac:dyDescent="0.25">
      <c r="BJ918" s="6"/>
      <c r="BK918" s="7"/>
      <c r="BL918" s="1"/>
      <c r="BM918" s="1"/>
    </row>
    <row r="919" spans="62:65" ht="15.75" customHeight="1" x14ac:dyDescent="0.25">
      <c r="BJ919" s="6"/>
      <c r="BK919" s="7"/>
      <c r="BL919" s="1"/>
      <c r="BM919" s="1"/>
    </row>
    <row r="920" spans="62:65" ht="15.75" customHeight="1" x14ac:dyDescent="0.25">
      <c r="BJ920" s="6"/>
      <c r="BK920" s="7"/>
      <c r="BL920" s="1"/>
      <c r="BM920" s="1"/>
    </row>
    <row r="921" spans="62:65" ht="15.75" customHeight="1" x14ac:dyDescent="0.25">
      <c r="BJ921" s="6"/>
      <c r="BK921" s="7"/>
      <c r="BL921" s="1"/>
      <c r="BM921" s="1"/>
    </row>
    <row r="922" spans="62:65" ht="15.75" customHeight="1" x14ac:dyDescent="0.25">
      <c r="BJ922" s="6"/>
      <c r="BK922" s="7"/>
      <c r="BL922" s="1"/>
      <c r="BM922" s="1"/>
    </row>
    <row r="923" spans="62:65" ht="15.75" customHeight="1" x14ac:dyDescent="0.25">
      <c r="BJ923" s="6"/>
      <c r="BK923" s="7"/>
      <c r="BL923" s="1"/>
      <c r="BM923" s="1"/>
    </row>
    <row r="924" spans="62:65" ht="15.75" customHeight="1" x14ac:dyDescent="0.25">
      <c r="BJ924" s="6"/>
      <c r="BK924" s="7"/>
      <c r="BL924" s="1"/>
      <c r="BM924" s="1"/>
    </row>
    <row r="925" spans="62:65" ht="15.75" customHeight="1" x14ac:dyDescent="0.25">
      <c r="BJ925" s="6"/>
      <c r="BK925" s="7"/>
      <c r="BL925" s="1"/>
      <c r="BM925" s="1"/>
    </row>
    <row r="926" spans="62:65" ht="15.75" customHeight="1" x14ac:dyDescent="0.25">
      <c r="BJ926" s="6"/>
      <c r="BK926" s="7"/>
      <c r="BL926" s="1"/>
      <c r="BM926" s="1"/>
    </row>
    <row r="927" spans="62:65" ht="15.75" customHeight="1" x14ac:dyDescent="0.25">
      <c r="BJ927" s="6"/>
      <c r="BK927" s="7"/>
      <c r="BL927" s="1"/>
      <c r="BM927" s="1"/>
    </row>
    <row r="928" spans="62:65" ht="15.75" customHeight="1" x14ac:dyDescent="0.25">
      <c r="BJ928" s="6"/>
      <c r="BK928" s="7"/>
      <c r="BL928" s="1"/>
      <c r="BM928" s="1"/>
    </row>
    <row r="929" spans="62:65" ht="15.75" customHeight="1" x14ac:dyDescent="0.25">
      <c r="BJ929" s="6"/>
      <c r="BK929" s="7"/>
      <c r="BL929" s="1"/>
      <c r="BM929" s="1"/>
    </row>
    <row r="930" spans="62:65" ht="15.75" customHeight="1" x14ac:dyDescent="0.25">
      <c r="BJ930" s="6"/>
      <c r="BK930" s="7"/>
      <c r="BL930" s="1"/>
      <c r="BM930" s="1"/>
    </row>
    <row r="931" spans="62:65" ht="15.75" customHeight="1" x14ac:dyDescent="0.25">
      <c r="BJ931" s="6"/>
      <c r="BK931" s="7"/>
      <c r="BL931" s="1"/>
      <c r="BM931" s="1"/>
    </row>
    <row r="932" spans="62:65" ht="15.75" customHeight="1" x14ac:dyDescent="0.25">
      <c r="BJ932" s="6"/>
      <c r="BK932" s="7"/>
      <c r="BL932" s="1"/>
      <c r="BM932" s="1"/>
    </row>
    <row r="933" spans="62:65" ht="15.75" customHeight="1" x14ac:dyDescent="0.25">
      <c r="BJ933" s="6"/>
      <c r="BK933" s="7"/>
      <c r="BL933" s="1"/>
      <c r="BM933" s="1"/>
    </row>
    <row r="934" spans="62:65" ht="15.75" customHeight="1" x14ac:dyDescent="0.25">
      <c r="BJ934" s="6"/>
      <c r="BK934" s="7"/>
      <c r="BL934" s="1"/>
      <c r="BM934" s="1"/>
    </row>
    <row r="935" spans="62:65" ht="15.75" customHeight="1" x14ac:dyDescent="0.25">
      <c r="BJ935" s="6"/>
      <c r="BK935" s="7"/>
      <c r="BL935" s="1"/>
      <c r="BM935" s="1"/>
    </row>
    <row r="936" spans="62:65" ht="15.75" customHeight="1" x14ac:dyDescent="0.25">
      <c r="BJ936" s="6"/>
      <c r="BK936" s="7"/>
      <c r="BL936" s="1"/>
      <c r="BM936" s="1"/>
    </row>
    <row r="937" spans="62:65" ht="15.75" customHeight="1" x14ac:dyDescent="0.25">
      <c r="BJ937" s="6"/>
      <c r="BK937" s="7"/>
      <c r="BL937" s="1"/>
      <c r="BM937" s="1"/>
    </row>
    <row r="938" spans="62:65" ht="15.75" customHeight="1" x14ac:dyDescent="0.25">
      <c r="BJ938" s="6"/>
      <c r="BK938" s="7"/>
      <c r="BL938" s="1"/>
      <c r="BM938" s="1"/>
    </row>
    <row r="939" spans="62:65" ht="15.75" customHeight="1" x14ac:dyDescent="0.25">
      <c r="BJ939" s="6"/>
      <c r="BK939" s="7"/>
      <c r="BL939" s="1"/>
      <c r="BM939" s="1"/>
    </row>
    <row r="940" spans="62:65" ht="15.75" customHeight="1" x14ac:dyDescent="0.25">
      <c r="BJ940" s="6"/>
      <c r="BK940" s="7"/>
      <c r="BL940" s="1"/>
      <c r="BM940" s="1"/>
    </row>
    <row r="941" spans="62:65" ht="15.75" customHeight="1" x14ac:dyDescent="0.25">
      <c r="BJ941" s="6"/>
      <c r="BK941" s="7"/>
      <c r="BL941" s="1"/>
      <c r="BM941" s="1"/>
    </row>
    <row r="942" spans="62:65" ht="15.75" customHeight="1" x14ac:dyDescent="0.25">
      <c r="BJ942" s="6"/>
      <c r="BK942" s="7"/>
      <c r="BL942" s="1"/>
      <c r="BM942" s="1"/>
    </row>
    <row r="943" spans="62:65" ht="15.75" customHeight="1" x14ac:dyDescent="0.25">
      <c r="BJ943" s="6"/>
      <c r="BK943" s="7"/>
      <c r="BL943" s="1"/>
      <c r="BM943" s="1"/>
    </row>
    <row r="944" spans="62:65" ht="15.75" customHeight="1" x14ac:dyDescent="0.25">
      <c r="BJ944" s="6"/>
      <c r="BK944" s="7"/>
      <c r="BL944" s="1"/>
      <c r="BM944" s="1"/>
    </row>
    <row r="945" spans="62:65" ht="15.75" customHeight="1" x14ac:dyDescent="0.25">
      <c r="BJ945" s="6"/>
      <c r="BK945" s="7"/>
      <c r="BL945" s="1"/>
      <c r="BM945" s="1"/>
    </row>
    <row r="946" spans="62:65" ht="15.75" customHeight="1" x14ac:dyDescent="0.25">
      <c r="BJ946" s="6"/>
      <c r="BK946" s="7"/>
      <c r="BL946" s="1"/>
      <c r="BM946" s="1"/>
    </row>
    <row r="947" spans="62:65" ht="15.75" customHeight="1" x14ac:dyDescent="0.25">
      <c r="BJ947" s="6"/>
      <c r="BK947" s="7"/>
      <c r="BL947" s="1"/>
      <c r="BM947" s="1"/>
    </row>
    <row r="948" spans="62:65" ht="15.75" customHeight="1" x14ac:dyDescent="0.25">
      <c r="BJ948" s="6"/>
      <c r="BK948" s="7"/>
      <c r="BL948" s="1"/>
      <c r="BM948" s="1"/>
    </row>
    <row r="949" spans="62:65" ht="15.75" customHeight="1" x14ac:dyDescent="0.25">
      <c r="BJ949" s="6"/>
      <c r="BK949" s="7"/>
      <c r="BL949" s="1"/>
      <c r="BM949" s="1"/>
    </row>
    <row r="950" spans="62:65" ht="15.75" customHeight="1" x14ac:dyDescent="0.25">
      <c r="BJ950" s="6"/>
      <c r="BK950" s="7"/>
      <c r="BL950" s="1"/>
      <c r="BM950" s="1"/>
    </row>
    <row r="951" spans="62:65" ht="15.75" customHeight="1" x14ac:dyDescent="0.25">
      <c r="BJ951" s="6"/>
      <c r="BK951" s="7"/>
      <c r="BL951" s="1"/>
      <c r="BM951" s="1"/>
    </row>
    <row r="952" spans="62:65" ht="15.75" customHeight="1" x14ac:dyDescent="0.25">
      <c r="BJ952" s="6"/>
      <c r="BK952" s="7"/>
      <c r="BL952" s="1"/>
      <c r="BM952" s="1"/>
    </row>
    <row r="953" spans="62:65" ht="15.75" customHeight="1" x14ac:dyDescent="0.25">
      <c r="BJ953" s="6"/>
      <c r="BK953" s="7"/>
      <c r="BL953" s="1"/>
      <c r="BM953" s="1"/>
    </row>
    <row r="954" spans="62:65" ht="15.75" customHeight="1" x14ac:dyDescent="0.25">
      <c r="BJ954" s="6"/>
      <c r="BK954" s="7"/>
      <c r="BL954" s="1"/>
      <c r="BM954" s="1"/>
    </row>
    <row r="955" spans="62:65" ht="15.75" customHeight="1" x14ac:dyDescent="0.25">
      <c r="BJ955" s="6"/>
      <c r="BK955" s="7"/>
      <c r="BL955" s="1"/>
      <c r="BM955" s="1"/>
    </row>
    <row r="956" spans="62:65" ht="15.75" customHeight="1" x14ac:dyDescent="0.25">
      <c r="BJ956" s="6"/>
      <c r="BK956" s="7"/>
      <c r="BL956" s="1"/>
      <c r="BM956" s="1"/>
    </row>
    <row r="957" spans="62:65" ht="15.75" customHeight="1" x14ac:dyDescent="0.25">
      <c r="BJ957" s="6"/>
      <c r="BK957" s="7"/>
      <c r="BL957" s="1"/>
      <c r="BM957" s="1"/>
    </row>
    <row r="958" spans="62:65" ht="15.75" customHeight="1" x14ac:dyDescent="0.25">
      <c r="BJ958" s="6"/>
      <c r="BK958" s="7"/>
      <c r="BL958" s="1"/>
      <c r="BM958" s="1"/>
    </row>
    <row r="959" spans="62:65" ht="15.75" customHeight="1" x14ac:dyDescent="0.25">
      <c r="BJ959" s="6"/>
      <c r="BK959" s="7"/>
      <c r="BL959" s="1"/>
      <c r="BM959" s="1"/>
    </row>
    <row r="960" spans="62:65" ht="15.75" customHeight="1" x14ac:dyDescent="0.25">
      <c r="BJ960" s="6"/>
      <c r="BK960" s="7"/>
      <c r="BL960" s="1"/>
      <c r="BM960" s="1"/>
    </row>
    <row r="961" spans="62:65" ht="15.75" customHeight="1" x14ac:dyDescent="0.25">
      <c r="BJ961" s="6"/>
      <c r="BK961" s="7"/>
      <c r="BL961" s="1"/>
      <c r="BM961" s="1"/>
    </row>
    <row r="962" spans="62:65" ht="15.75" customHeight="1" x14ac:dyDescent="0.25">
      <c r="BJ962" s="6"/>
      <c r="BK962" s="7"/>
      <c r="BL962" s="1"/>
      <c r="BM962" s="1"/>
    </row>
    <row r="963" spans="62:65" ht="15.75" customHeight="1" x14ac:dyDescent="0.25">
      <c r="BJ963" s="6"/>
      <c r="BK963" s="7"/>
      <c r="BL963" s="1"/>
      <c r="BM963" s="1"/>
    </row>
    <row r="964" spans="62:65" ht="15.75" customHeight="1" x14ac:dyDescent="0.25">
      <c r="BJ964" s="6"/>
      <c r="BK964" s="7"/>
      <c r="BL964" s="1"/>
      <c r="BM964" s="1"/>
    </row>
    <row r="965" spans="62:65" ht="15.75" customHeight="1" x14ac:dyDescent="0.25">
      <c r="BJ965" s="6"/>
      <c r="BK965" s="7"/>
      <c r="BL965" s="1"/>
      <c r="BM965" s="1"/>
    </row>
    <row r="966" spans="62:65" ht="15.75" customHeight="1" x14ac:dyDescent="0.25">
      <c r="BJ966" s="6"/>
      <c r="BK966" s="7"/>
      <c r="BL966" s="1"/>
      <c r="BM966" s="1"/>
    </row>
    <row r="967" spans="62:65" ht="15.75" customHeight="1" x14ac:dyDescent="0.25">
      <c r="BJ967" s="6"/>
      <c r="BK967" s="7"/>
      <c r="BL967" s="1"/>
      <c r="BM967" s="1"/>
    </row>
    <row r="968" spans="62:65" ht="15.75" customHeight="1" x14ac:dyDescent="0.25">
      <c r="BJ968" s="6"/>
      <c r="BK968" s="7"/>
      <c r="BL968" s="1"/>
      <c r="BM968" s="1"/>
    </row>
    <row r="969" spans="62:65" ht="15.75" customHeight="1" x14ac:dyDescent="0.25">
      <c r="BJ969" s="6"/>
      <c r="BK969" s="7"/>
      <c r="BL969" s="1"/>
      <c r="BM969" s="1"/>
    </row>
    <row r="970" spans="62:65" ht="15.75" customHeight="1" x14ac:dyDescent="0.25">
      <c r="BJ970" s="6"/>
      <c r="BK970" s="7"/>
      <c r="BL970" s="1"/>
      <c r="BM970" s="1"/>
    </row>
    <row r="971" spans="62:65" ht="15.75" customHeight="1" x14ac:dyDescent="0.25">
      <c r="BJ971" s="6"/>
      <c r="BK971" s="7"/>
      <c r="BL971" s="1"/>
      <c r="BM971" s="1"/>
    </row>
    <row r="972" spans="62:65" ht="15.75" customHeight="1" x14ac:dyDescent="0.25">
      <c r="BJ972" s="6"/>
      <c r="BK972" s="7"/>
      <c r="BL972" s="1"/>
      <c r="BM972" s="1"/>
    </row>
    <row r="973" spans="62:65" ht="15.75" customHeight="1" x14ac:dyDescent="0.25">
      <c r="BJ973" s="6"/>
      <c r="BK973" s="7"/>
      <c r="BL973" s="1"/>
      <c r="BM973" s="1"/>
    </row>
    <row r="974" spans="62:65" ht="15.75" customHeight="1" x14ac:dyDescent="0.25">
      <c r="BJ974" s="6"/>
      <c r="BK974" s="7"/>
      <c r="BL974" s="1"/>
      <c r="BM974" s="1"/>
    </row>
    <row r="975" spans="62:65" ht="15.75" customHeight="1" x14ac:dyDescent="0.25">
      <c r="BJ975" s="6"/>
      <c r="BK975" s="7"/>
      <c r="BL975" s="1"/>
      <c r="BM975" s="1"/>
    </row>
    <row r="976" spans="62:65" ht="15.75" customHeight="1" x14ac:dyDescent="0.25">
      <c r="BJ976" s="6"/>
      <c r="BK976" s="7"/>
      <c r="BL976" s="1"/>
      <c r="BM976" s="1"/>
    </row>
    <row r="977" spans="62:65" ht="15.75" customHeight="1" x14ac:dyDescent="0.25">
      <c r="BJ977" s="6"/>
      <c r="BK977" s="7"/>
      <c r="BL977" s="1"/>
      <c r="BM977" s="1"/>
    </row>
    <row r="978" spans="62:65" ht="15.75" customHeight="1" x14ac:dyDescent="0.25">
      <c r="BJ978" s="6"/>
      <c r="BK978" s="7"/>
      <c r="BL978" s="1"/>
      <c r="BM978" s="1"/>
    </row>
    <row r="979" spans="62:65" ht="15.75" customHeight="1" x14ac:dyDescent="0.25">
      <c r="BJ979" s="6"/>
      <c r="BK979" s="7"/>
      <c r="BL979" s="1"/>
      <c r="BM979" s="1"/>
    </row>
    <row r="980" spans="62:65" ht="15.75" customHeight="1" x14ac:dyDescent="0.25">
      <c r="BJ980" s="6"/>
      <c r="BK980" s="7"/>
      <c r="BL980" s="1"/>
      <c r="BM980" s="1"/>
    </row>
    <row r="981" spans="62:65" ht="15.75" customHeight="1" x14ac:dyDescent="0.25">
      <c r="BJ981" s="6"/>
      <c r="BK981" s="7"/>
      <c r="BL981" s="1"/>
      <c r="BM981" s="1"/>
    </row>
    <row r="982" spans="62:65" ht="15.75" customHeight="1" x14ac:dyDescent="0.25">
      <c r="BJ982" s="6"/>
      <c r="BK982" s="7"/>
      <c r="BL982" s="1"/>
      <c r="BM982" s="1"/>
    </row>
    <row r="983" spans="62:65" ht="15.75" customHeight="1" x14ac:dyDescent="0.25">
      <c r="BJ983" s="6"/>
      <c r="BK983" s="7"/>
      <c r="BL983" s="1"/>
      <c r="BM983" s="1"/>
    </row>
    <row r="984" spans="62:65" ht="15.75" customHeight="1" x14ac:dyDescent="0.25">
      <c r="BJ984" s="6"/>
      <c r="BK984" s="7"/>
      <c r="BL984" s="1"/>
      <c r="BM984" s="1"/>
    </row>
    <row r="985" spans="62:65" ht="15.75" customHeight="1" x14ac:dyDescent="0.25">
      <c r="BJ985" s="6"/>
      <c r="BK985" s="7"/>
      <c r="BL985" s="1"/>
      <c r="BM985" s="1"/>
    </row>
    <row r="986" spans="62:65" ht="15.75" customHeight="1" x14ac:dyDescent="0.25">
      <c r="BJ986" s="6"/>
      <c r="BK986" s="7"/>
      <c r="BL986" s="1"/>
      <c r="BM986" s="1"/>
    </row>
    <row r="987" spans="62:65" ht="15.75" customHeight="1" x14ac:dyDescent="0.25">
      <c r="BJ987" s="6"/>
      <c r="BK987" s="7"/>
      <c r="BL987" s="1"/>
      <c r="BM987" s="1"/>
    </row>
    <row r="988" spans="62:65" ht="15.75" customHeight="1" x14ac:dyDescent="0.25">
      <c r="BJ988" s="6"/>
      <c r="BK988" s="7"/>
      <c r="BL988" s="1"/>
      <c r="BM988" s="1"/>
    </row>
    <row r="989" spans="62:65" ht="15.75" customHeight="1" x14ac:dyDescent="0.25">
      <c r="BJ989" s="6"/>
      <c r="BK989" s="7"/>
      <c r="BL989" s="1"/>
      <c r="BM989" s="1"/>
    </row>
    <row r="990" spans="62:65" ht="15.75" customHeight="1" x14ac:dyDescent="0.25">
      <c r="BJ990" s="6"/>
      <c r="BK990" s="7"/>
      <c r="BL990" s="1"/>
      <c r="BM990" s="1"/>
    </row>
    <row r="991" spans="62:65" ht="15.75" customHeight="1" x14ac:dyDescent="0.25">
      <c r="BJ991" s="6"/>
      <c r="BK991" s="7"/>
      <c r="BL991" s="1"/>
      <c r="BM991" s="1"/>
    </row>
    <row r="992" spans="62:65" ht="15.75" customHeight="1" x14ac:dyDescent="0.25">
      <c r="BJ992" s="6"/>
      <c r="BK992" s="7"/>
      <c r="BL992" s="1"/>
      <c r="BM992" s="1"/>
    </row>
    <row r="993" spans="62:65" ht="15.75" customHeight="1" x14ac:dyDescent="0.25">
      <c r="BJ993" s="6"/>
      <c r="BK993" s="7"/>
      <c r="BL993" s="1"/>
      <c r="BM993" s="1"/>
    </row>
    <row r="994" spans="62:65" ht="15.75" customHeight="1" x14ac:dyDescent="0.25">
      <c r="BJ994" s="6"/>
      <c r="BK994" s="7"/>
      <c r="BL994" s="1"/>
      <c r="BM994" s="1"/>
    </row>
    <row r="995" spans="62:65" ht="15.75" customHeight="1" x14ac:dyDescent="0.25">
      <c r="BJ995" s="6"/>
      <c r="BK995" s="7"/>
      <c r="BL995" s="1"/>
      <c r="BM995" s="1"/>
    </row>
    <row r="996" spans="62:65" ht="15.75" customHeight="1" x14ac:dyDescent="0.25">
      <c r="BJ996" s="6"/>
      <c r="BK996" s="7"/>
      <c r="BL996" s="1"/>
      <c r="BM996" s="1"/>
    </row>
    <row r="997" spans="62:65" ht="15.75" customHeight="1" x14ac:dyDescent="0.25">
      <c r="BJ997" s="6"/>
      <c r="BK997" s="7"/>
      <c r="BL997" s="1"/>
      <c r="BM997" s="1"/>
    </row>
    <row r="998" spans="62:65" ht="15.75" customHeight="1" x14ac:dyDescent="0.25">
      <c r="BJ998" s="6"/>
      <c r="BK998" s="7"/>
      <c r="BL998" s="1"/>
      <c r="BM998" s="1"/>
    </row>
    <row r="999" spans="62:65" ht="15.75" customHeight="1" x14ac:dyDescent="0.25">
      <c r="BJ999" s="6"/>
      <c r="BK999" s="7"/>
      <c r="BL999" s="1"/>
      <c r="BM999" s="1"/>
    </row>
    <row r="1000" spans="62:65" ht="15.75" customHeight="1" x14ac:dyDescent="0.25">
      <c r="BJ1000" s="6"/>
      <c r="BK1000" s="7"/>
      <c r="BL1000" s="1"/>
      <c r="BM1000" s="1"/>
    </row>
  </sheetData>
  <mergeCells count="5">
    <mergeCell ref="BS1:CD1"/>
    <mergeCell ref="CE1:CP1"/>
    <mergeCell ref="CQ1:DB1"/>
    <mergeCell ref="DC1:DD1"/>
    <mergeCell ref="DN1:DP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4">
        <v>2016</v>
      </c>
      <c r="E1" s="109"/>
      <c r="F1" s="110"/>
      <c r="G1" s="86"/>
      <c r="H1" s="86"/>
      <c r="I1" s="86"/>
      <c r="J1" s="87"/>
      <c r="K1" s="86"/>
      <c r="L1" s="86"/>
      <c r="M1" s="86"/>
      <c r="N1" s="86"/>
      <c r="O1" s="87"/>
      <c r="P1" s="104">
        <v>2015</v>
      </c>
      <c r="Q1" s="109"/>
      <c r="R1" s="110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D25" sqref="D25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9">
        <v>2019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100">
        <v>2018</v>
      </c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1"/>
      <c r="CK1" s="102">
        <v>2017</v>
      </c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103"/>
      <c r="CW1" s="104"/>
      <c r="CX1" s="105"/>
      <c r="CY1" s="31"/>
      <c r="CZ1" s="31"/>
      <c r="DA1" s="31"/>
      <c r="DB1" s="31"/>
      <c r="DC1" s="31"/>
      <c r="DD1" s="86"/>
      <c r="DE1" s="87"/>
      <c r="DF1" s="87"/>
      <c r="DG1" s="87"/>
      <c r="DH1" s="104">
        <v>2015</v>
      </c>
      <c r="DI1" s="105"/>
      <c r="DJ1" s="106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9">
        <v>2019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100">
        <v>2018</v>
      </c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1"/>
      <c r="BY1" s="102">
        <v>2017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3"/>
      <c r="CK1" s="104"/>
      <c r="CL1" s="105"/>
      <c r="CM1" s="31"/>
      <c r="CN1" s="31"/>
      <c r="CO1" s="31"/>
      <c r="CP1" s="31"/>
      <c r="CQ1" s="31"/>
      <c r="CR1" s="86"/>
      <c r="CS1" s="87"/>
      <c r="CT1" s="87"/>
      <c r="CU1" s="87"/>
      <c r="CV1" s="104">
        <v>2015</v>
      </c>
      <c r="CW1" s="105"/>
      <c r="CX1" s="106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9">
        <v>2019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100">
        <v>2018</v>
      </c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1"/>
      <c r="BM1" s="102">
        <v>2017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3"/>
      <c r="BY1" s="104"/>
      <c r="BZ1" s="105"/>
      <c r="CA1" s="31"/>
      <c r="CB1" s="31"/>
      <c r="CC1" s="31"/>
      <c r="CD1" s="31"/>
      <c r="CE1" s="31"/>
      <c r="CF1" s="86"/>
      <c r="CG1" s="87"/>
      <c r="CH1" s="87"/>
      <c r="CI1" s="87"/>
      <c r="CJ1" s="104">
        <v>2015</v>
      </c>
      <c r="CK1" s="105"/>
      <c r="CL1" s="106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9">
        <v>2019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0">
        <v>2018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2">
        <v>2017</v>
      </c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8"/>
      <c r="BM1" s="105"/>
      <c r="BN1" s="109"/>
      <c r="BO1" s="31"/>
      <c r="BP1" s="31"/>
      <c r="BQ1" s="31"/>
      <c r="BR1" s="31"/>
      <c r="BS1" s="31"/>
      <c r="BT1" s="86"/>
      <c r="BU1" s="87"/>
      <c r="BV1" s="87"/>
      <c r="BW1" s="87"/>
      <c r="BX1" s="104">
        <v>2015</v>
      </c>
      <c r="BY1" s="109"/>
      <c r="BZ1" s="110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100"/>
      <c r="M1" s="107"/>
      <c r="N1" s="107"/>
      <c r="O1" s="107"/>
      <c r="P1" s="107"/>
      <c r="Q1" s="99">
        <v>2019</v>
      </c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0">
        <v>2018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8"/>
      <c r="AO1" s="102">
        <v>2017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5"/>
      <c r="BB1" s="109"/>
      <c r="BC1" s="31"/>
      <c r="BD1" s="31"/>
      <c r="BE1" s="31"/>
      <c r="BF1" s="31"/>
      <c r="BG1" s="31"/>
      <c r="BH1" s="86"/>
      <c r="BI1" s="87"/>
      <c r="BJ1" s="87"/>
      <c r="BK1" s="87"/>
      <c r="BL1" s="104">
        <v>2015</v>
      </c>
      <c r="BM1" s="109"/>
      <c r="BN1" s="110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9">
        <v>2019</v>
      </c>
      <c r="E1" s="107"/>
      <c r="F1" s="107"/>
      <c r="G1" s="107"/>
      <c r="H1" s="107"/>
      <c r="I1" s="107"/>
      <c r="J1" s="107"/>
      <c r="K1" s="62"/>
      <c r="L1" s="62"/>
      <c r="M1" s="30"/>
      <c r="N1" s="30"/>
      <c r="O1" s="30"/>
      <c r="P1" s="100">
        <v>2018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2">
        <v>2017</v>
      </c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8"/>
      <c r="AN1" s="105"/>
      <c r="AO1" s="109"/>
      <c r="AP1" s="31"/>
      <c r="AQ1" s="31"/>
      <c r="AR1" s="31"/>
      <c r="AS1" s="31"/>
      <c r="AT1" s="31"/>
      <c r="AU1" s="86"/>
      <c r="AV1" s="87"/>
      <c r="AW1" s="87"/>
      <c r="AX1" s="87"/>
      <c r="AY1" s="104">
        <v>2015</v>
      </c>
      <c r="AZ1" s="109"/>
      <c r="BA1" s="110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100">
        <v>2018</v>
      </c>
      <c r="E1" s="107"/>
      <c r="F1" s="107"/>
      <c r="G1" s="85"/>
      <c r="H1" s="30"/>
      <c r="I1" s="30"/>
      <c r="J1" s="30"/>
      <c r="K1" s="30"/>
      <c r="L1" s="30"/>
      <c r="M1" s="30"/>
      <c r="N1" s="30"/>
      <c r="O1" s="63"/>
      <c r="P1" s="102">
        <v>2017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5"/>
      <c r="AC1" s="109"/>
      <c r="AD1" s="31"/>
      <c r="AE1" s="31"/>
      <c r="AF1" s="31"/>
      <c r="AG1" s="31"/>
      <c r="AH1" s="31"/>
      <c r="AI1" s="86"/>
      <c r="AJ1" s="87"/>
      <c r="AK1" s="87"/>
      <c r="AL1" s="87"/>
      <c r="AM1" s="104">
        <v>2015</v>
      </c>
      <c r="AN1" s="109"/>
      <c r="AO1" s="110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4">
        <v>2016</v>
      </c>
      <c r="Q1" s="109"/>
      <c r="R1" s="109"/>
      <c r="S1" s="31"/>
      <c r="T1" s="31"/>
      <c r="U1" s="31"/>
      <c r="V1" s="31"/>
      <c r="W1" s="31"/>
      <c r="X1" s="86"/>
      <c r="Y1" s="87"/>
      <c r="Z1" s="87"/>
      <c r="AA1" s="87"/>
      <c r="AB1" s="104">
        <v>2015</v>
      </c>
      <c r="AC1" s="109"/>
      <c r="AD1" s="110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2025-07-14T21:38:49Z</dcterms:modified>
  <cp:category/>
  <cp:contentStatus/>
</cp:coreProperties>
</file>