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ASI\Finance\FinancialStatements\2025\2025-06\"/>
    </mc:Choice>
  </mc:AlternateContent>
  <xr:revisionPtr revIDLastSave="0" documentId="8_{0EFE9533-5DDD-4A62-AE64-5D3CE84708D4}" xr6:coauthVersionLast="47" xr6:coauthVersionMax="47" xr10:uidLastSave="{00000000-0000-0000-0000-000000000000}"/>
  <bookViews>
    <workbookView xWindow="1395" yWindow="1470" windowWidth="24030" windowHeight="14055" activeTab="1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BvA'!$338:$338,'Income Statement BvA'!$339:$339,'Income Statement BvA'!$340:$340,'Income Statement BvA'!$341:$341,'Income Statement BvA'!$342:$342,'Income Statement BvA'!$343:$343,'Income Statement BvA'!$347:$347,'Income Statement BvA'!$351:$351,'Income Statement BvA'!$352:$352,'Income Statement BvA'!$354:$354,'Income Statement BvA'!#REF!,'Income Statement BvA'!$359:$359,'Income Statement BvA'!$361:$361,'Income Statement BvA'!$362:$362,'Income Statement BvA'!$363:$363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BvA'!$91:$91,'Income Statement BvA'!$93:$93,'Income Statement BvA'!$94:$94,'Income Statement BvA'!$95:$95,'Income Statement BvA'!$100:$100,'Income Statement BvA'!$105:$105,'Income Statement BvA'!$107:$107,'Income Statement BvA'!$108:$108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BvA'!$109:$109,'Income Statement BvA'!$110:$110,'Income Statement BvA'!$111:$111,'Income Statement BvA'!$116:$116,'Income Statement BvA'!$118:$118,'Income Statement BvA'!$119:$119,'Income Statement BvA'!$120:$120,'Income Statement BvA'!$122:$122,'Income Statement BvA'!$125:$125,'Income Statement BvA'!$134:$134,'Income Statement BvA'!$136:$136,'Income Statement BvA'!$137:$137,'Income Statement BvA'!$142:$142,'Income Statement BvA'!$144:$144,'Income Statement BvA'!$152:$152,'Income Statement BvA'!$153:$153</definedName>
    <definedName name="QB_DATA_4" localSheetId="1" hidden="1">'Income Statement BvA'!$158:$158,'Income Statement BvA'!$159:$159,'Income Statement BvA'!$160:$160,'Income Statement BvA'!$163:$163,'Income Statement BvA'!$164:$164,'Income Statement BvA'!$167:$167,'Income Statement BvA'!$168:$168,'Income Statement BvA'!$169:$169,'Income Statement BvA'!$172:$172,'Income Statement BvA'!$177:$177,'Income Statement BvA'!$178:$178,'Income Statement BvA'!$181:$181,'Income Statement BvA'!$191:$191,'Income Statement BvA'!$192:$192,'Income Statement BvA'!$195:$195,'Income Statement BvA'!$196:$196</definedName>
    <definedName name="QB_DATA_5" localSheetId="1" hidden="1">'Income Statement BvA'!$200:$200,'Income Statement BvA'!$203:$203,'Income Statement BvA'!$206:$206,'Income Statement BvA'!$207:$207,'Income Statement BvA'!$208:$208,'Income Statement BvA'!$209:$209,'Income Statement BvA'!$212:$212,'Income Statement BvA'!#REF!,'Income Statement BvA'!$218:$218,'Income Statement BvA'!$221:$221,'Income Statement BvA'!$223:$223,'Income Statement BvA'!$224:$224,'Income Statement BvA'!$226:$226,'Income Statement BvA'!$227:$227,'Income Statement BvA'!$228:$228,'Income Statement BvA'!$229:$229</definedName>
    <definedName name="QB_DATA_6" localSheetId="1" hidden="1">'Income Statement BvA'!$231:$231,'Income Statement BvA'!$232:$232,'Income Statement BvA'!$233:$233,'Income Statement BvA'!$234:$234,'Income Statement BvA'!$235:$235,'Income Statement BvA'!$236:$236,'Income Statement BvA'!$237:$237,'Income Statement BvA'!$238:$238,'Income Statement BvA'!$240:$240,'Income Statement BvA'!$241:$241,'Income Statement BvA'!$243:$243,'Income Statement BvA'!$247:$247,'Income Statement BvA'!$250:$250,'Income Statement BvA'!$251:$251,'Income Statement BvA'!$252:$252,'Income Statement BvA'!$255:$255</definedName>
    <definedName name="QB_DATA_7" localSheetId="1" hidden="1">'Income Statement BvA'!$258:$258,'Income Statement BvA'!$260:$260,'Income Statement BvA'!$261:$261,'Income Statement BvA'!$262:$262,'Income Statement BvA'!$268:$268,'Income Statement BvA'!$272:$272,'Income Statement BvA'!$274:$274,'Income Statement BvA'!$275:$275,'Income Statement BvA'!$276:$276,'Income Statement BvA'!$278:$278,'Income Statement BvA'!$280:$280,'Income Statement BvA'!$281:$281,'Income Statement BvA'!$283:$283,'Income Statement BvA'!$285:$285,'Income Statement BvA'!$286:$286,'Income Statement BvA'!$287:$287</definedName>
    <definedName name="QB_DATA_8" localSheetId="1" hidden="1">'Income Statement BvA'!$288:$288,'Income Statement BvA'!$289:$289,'Income Statement BvA'!#REF!,'Income Statement BvA'!$292:$292,'Income Statement BvA'!$293:$293,'Income Statement BvA'!$295:$295,'Income Statement BvA'!$296:$296,'Income Statement BvA'!$297:$297,'Income Statement BvA'!$298:$298,'Income Statement BvA'!$300:$300,'Income Statement BvA'!$301:$301,'Income Statement BvA'!$302:$302,'Income Statement BvA'!$304:$304,'Income Statement BvA'!$305:$305,'Income Statement BvA'!$306:$306,'Income Statement BvA'!$307:$307</definedName>
    <definedName name="QB_DATA_9" localSheetId="1" hidden="1">'Income Statement BvA'!$309:$309,'Income Statement BvA'!$311:$311,'Income Statement BvA'!$312:$312,'Income Statement BvA'!$319:$319,'Income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BvA'!$331:$331,'Income Statement BvA'!$334:$334,'Income Statement BvA'!$335:$335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BvA'!$L$125,'Income Statement BvA'!#REF!,'Income Statement BvA'!$L$134,'Income Statement BvA'!#REF!,'Income Statement BvA'!$L$136,'Income Statement BvA'!#REF!,'Income Statement BvA'!$L$137,'Income Statement BvA'!$I$140,'Income Statement BvA'!#REF!,'Income Statement BvA'!#REF!,'Income Statement BvA'!$J$140,'Income Statement BvA'!$K$140,'Income Statement BvA'!$L$140,'Income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BvA'!$L$142,'Income Statement BvA'!$I$143,'Income Statement BvA'!#REF!,'Income Statement BvA'!#REF!,'Income Statement BvA'!$J$143,'Income Statement BvA'!$K$143,'Income Statement BvA'!$L$143,'Income Statement BvA'!#REF!,'Income Statement BvA'!#REF!,'Income Statement BvA'!$L$144,'Income Statement BvA'!$I$146,'Income Statement BvA'!#REF!,'Income Statement BvA'!#REF!,'Income Statement BvA'!$J$146,'Income Statement BvA'!$K$146</definedName>
    <definedName name="QB_FORMULA_12" localSheetId="1" hidden="1">'Income Statement BvA'!$L$146,'Income Statement BvA'!#REF!,'Income Statement BvA'!$I$147,'Income Statement BvA'!#REF!,'Income Statement BvA'!#REF!,'Income Statement BvA'!$J$147,'Income Statement BvA'!$K$147,'Income Statement BvA'!$L$147,'Income Statement BvA'!#REF!,'Income Statement BvA'!#REF!,'Income Statement BvA'!$L$152,'Income Statement BvA'!#REF!,'Income Statement BvA'!$L$153,'Income Statement BvA'!$I$154,'Income Statement BvA'!#REF!,'Income Statement BvA'!#REF!</definedName>
    <definedName name="QB_FORMULA_13" localSheetId="1" hidden="1">'Income Statement BvA'!$J$154,'Income Statement BvA'!$K$154,'Income Statement BvA'!$L$154,'Income Statement BvA'!#REF!,'Income Statement BvA'!#REF!,'Income Statement BvA'!$L$158,'Income Statement BvA'!#REF!,'Income Statement BvA'!$L$159,'Income Statement BvA'!#REF!,'Income Statement BvA'!$L$160,'Income Statement BvA'!$I$161,'Income Statement BvA'!#REF!,'Income Statement BvA'!#REF!,'Income Statement BvA'!$J$161,'Income Statement BvA'!$K$161,'Income Statement BvA'!$L$161</definedName>
    <definedName name="QB_FORMULA_14" localSheetId="1" hidden="1">'Income Statement BvA'!#REF!,'Income Statement BvA'!#REF!,'Income Statement BvA'!$L$163,'Income Statement BvA'!#REF!,'Income Statement BvA'!$L$164,'Income Statement BvA'!#REF!,'Income Statement BvA'!$L$167,'Income Statement BvA'!#REF!,'Income Statement BvA'!$L$168,'Income Statement BvA'!#REF!,'Income Statement BvA'!$L$169,'Income Statement BvA'!$I$170,'Income Statement BvA'!#REF!,'Income Statement BvA'!#REF!,'Income Statement BvA'!$J$170,'Income Statement BvA'!$K$170</definedName>
    <definedName name="QB_FORMULA_15" localSheetId="1" hidden="1">'Income Statement BvA'!$L$170,'Income Statement BvA'!#REF!,'Income Statement BvA'!#REF!,'Income Statement BvA'!$L$172,'Income Statement BvA'!#REF!,'Income Statement BvA'!$L$177,'Income Statement BvA'!#REF!,'Income Statement BvA'!$L$178,'Income Statement BvA'!$I$180,'Income Statement BvA'!#REF!,'Income Statement BvA'!#REF!,'Income Statement BvA'!$J$180,'Income Statement BvA'!$K$180,'Income Statement BvA'!$L$180,'Income Statement BvA'!#REF!,'Income Statement BvA'!#REF!</definedName>
    <definedName name="QB_FORMULA_16" localSheetId="1" hidden="1">'Income Statement BvA'!$L$181,'Income Statement BvA'!$I$182,'Income Statement BvA'!#REF!,'Income Statement BvA'!#REF!,'Income Statement BvA'!$J$182,'Income Statement BvA'!$K$182,'Income Statement BvA'!$L$182,'Income Statement BvA'!#REF!,'Income Statement BvA'!#REF!,'Income Statement BvA'!$L$191,'Income Statement BvA'!#REF!,'Income Statement BvA'!$L$192,'Income Statement BvA'!#REF!,'Income Statement BvA'!$L$195,'Income Statement BvA'!#REF!,'Income Statement BvA'!$L$196</definedName>
    <definedName name="QB_FORMULA_17" localSheetId="1" hidden="1">'Income Statement BvA'!#REF!,'Income Statement BvA'!$L$200,'Income Statement BvA'!#REF!,'Income Statement BvA'!$L$203,'Income Statement BvA'!$I$204,'Income Statement BvA'!#REF!,'Income Statement BvA'!#REF!,'Income Statement BvA'!$J$204,'Income Statement BvA'!$K$204,'Income Statement BvA'!$L$204,'Income Statement BvA'!#REF!,'Income Statement BvA'!#REF!,'Income Statement BvA'!$L$206,'Income Statement BvA'!#REF!,'Income Statement BvA'!$L$207,'Income Statement BvA'!#REF!</definedName>
    <definedName name="QB_FORMULA_18" localSheetId="1" hidden="1">'Income Statement BvA'!$L$208,'Income Statement BvA'!#REF!,'Income Statement BvA'!$L$209,'Income Statement BvA'!$I$210,'Income Statement BvA'!#REF!,'Income Statement BvA'!#REF!,'Income Statement BvA'!$J$210,'Income Statement BvA'!$K$210,'Income Statement BvA'!$L$210,'Income Statement BvA'!#REF!,'Income Statement BvA'!#REF!,'Income Statement BvA'!$L$212,'Income Statement BvA'!$I$213,'Income Statement BvA'!#REF!,'Income Statement BvA'!#REF!,'Income Statement BvA'!$J$213</definedName>
    <definedName name="QB_FORMULA_19" localSheetId="1" hidden="1">'Income Statement BvA'!$K$213,'Income Statement BvA'!$L$213,'Income Statement BvA'!#REF!,'Income Statement BvA'!$I$214,'Income Statement BvA'!#REF!,'Income Statement BvA'!#REF!,'Income Statement BvA'!$J$214,'Income Statement BvA'!$K$214,'Income Statement BvA'!$L$214,'Income Statement BvA'!#REF!,'Income Statement BvA'!#REF!,'Income Statement BvA'!#REF!,'Income Statement BvA'!#REF!,'Income Statement BvA'!$L$218,'Income Statement BvA'!#REF!,'Income Statement BvA'!$L$221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BvA'!$L$223,'Income Statement BvA'!#REF!,'Income Statement BvA'!$L$224,'Income Statement BvA'!$I$225,'Income Statement BvA'!#REF!,'Income Statement BvA'!#REF!,'Income Statement BvA'!$J$225,'Income Statement BvA'!$K$225,'Income Statement BvA'!$L$225,'Income Statement BvA'!#REF!,'Income Statement BvA'!#REF!,'Income Statement BvA'!$L$226,'Income Statement BvA'!#REF!,'Income Statement BvA'!$L$227,'Income Statement BvA'!#REF!</definedName>
    <definedName name="QB_FORMULA_21" localSheetId="1" hidden="1">'Income Statement BvA'!$L$228,'Income Statement BvA'!#REF!,'Income Statement BvA'!$L$229,'Income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BvA'!#REF!,'Income Statement BvA'!$L$236,'Income Statement BvA'!#REF!</definedName>
    <definedName name="QB_FORMULA_22" localSheetId="1" hidden="1">'Income Statement BvA'!$L$237,'Income Statement BvA'!#REF!,'Income Statement BvA'!$L$238,'Income Statement BvA'!#REF!,'Income Statement BvA'!$L$240,'Income Statement BvA'!#REF!,'Income Statement BvA'!$L$241,'Income Statement BvA'!#REF!,'Income Statement BvA'!$L$243,'Income Statement BvA'!$I$244,'Income Statement BvA'!#REF!,'Income Statement BvA'!#REF!,'Income Statement BvA'!$J$244,'Income Statement BvA'!$K$244,'Income Statement BvA'!$L$244,'Income Statement BvA'!#REF!</definedName>
    <definedName name="QB_FORMULA_23" localSheetId="1" hidden="1">'Income Statement BvA'!#REF!,'Income Statement BvA'!$L$247,'Income Statement BvA'!#REF!,'Income Statement BvA'!$L$250,'Income Statement BvA'!#REF!,'Income Statement BvA'!$L$251,'Income Statement BvA'!#REF!,'Income Statement BvA'!$L$252,'Income Statement BvA'!$I$253,'Income Statement BvA'!#REF!,'Income Statement BvA'!#REF!,'Income Statement BvA'!$J$253,'Income Statement BvA'!$K$253,'Income Statement BvA'!$L$253,'Income Statement BvA'!#REF!,'Income Statement BvA'!#REF!</definedName>
    <definedName name="QB_FORMULA_24" localSheetId="1" hidden="1">'Income Statement BvA'!$L$255,'Income Statement BvA'!$I$256,'Income Statement BvA'!#REF!,'Income Statement BvA'!#REF!,'Income Statement BvA'!$J$256,'Income Statement BvA'!$K$256,'Income Statement BvA'!$L$256,'Income Statement BvA'!#REF!,'Income Statement BvA'!#REF!,'Income Statement BvA'!$L$258,'Income Statement BvA'!$I$259,'Income Statement BvA'!#REF!,'Income Statement BvA'!#REF!,'Income Statement BvA'!$J$259,'Income Statement BvA'!$K$259,'Income Statement BvA'!$L$259</definedName>
    <definedName name="QB_FORMULA_25" localSheetId="1" hidden="1">'Income Statement BvA'!#REF!,'Income Statement BvA'!#REF!,'Income Statement BvA'!$L$260,'Income Statement BvA'!#REF!,'Income Statement BvA'!$L$261,'Income Statement BvA'!#REF!,'Income Statement BvA'!$L$262,'Income Statement BvA'!$I$266,'Income Statement BvA'!#REF!,'Income Statement BvA'!#REF!,'Income Statement BvA'!$J$266,'Income Statement BvA'!$K$266,'Income Statement BvA'!$L$266,'Income Statement BvA'!#REF!,'Income Statement BvA'!#REF!,'Income Statement BvA'!$L$268</definedName>
    <definedName name="QB_FORMULA_26" localSheetId="1" hidden="1">'Income Statement BvA'!$I$269,'Income Statement BvA'!#REF!,'Income Statement BvA'!#REF!,'Income Statement BvA'!$J$269,'Income Statement BvA'!$K$269,'Income Statement BvA'!$L$269,'Income Statement BvA'!#REF!,'Income Statement BvA'!#REF!,'Income Statement BvA'!$L$272,'Income Statement BvA'!#REF!,'Income Statement BvA'!$L$274,'Income Statement BvA'!#REF!,'Income Statement BvA'!$L$275,'Income Statement BvA'!#REF!,'Income Statement BvA'!$L$276,'Income Statement BvA'!$I$277</definedName>
    <definedName name="QB_FORMULA_27" localSheetId="1" hidden="1">'Income Statement BvA'!#REF!,'Income Statement BvA'!#REF!,'Income Statement BvA'!$J$277,'Income Statement BvA'!$K$277,'Income Statement BvA'!$L$277,'Income Statement BvA'!#REF!,'Income Statement BvA'!#REF!,'Income Statement BvA'!$L$278,'Income Statement BvA'!#REF!,'Income Statement BvA'!$L$280,'Income Statement BvA'!#REF!,'Income Statement BvA'!$L$281,'Income Statement BvA'!$I$282,'Income Statement BvA'!#REF!,'Income Statement BvA'!#REF!,'Income Statement BvA'!$J$282</definedName>
    <definedName name="QB_FORMULA_28" localSheetId="1" hidden="1">'Income Statement BvA'!$K$282,'Income Statement BvA'!$L$282,'Income Statement BvA'!#REF!,'Income Statement BvA'!#REF!,'Income Statement BvA'!$L$283,'Income Statement BvA'!#REF!,'Income Statement BvA'!$L$285,'Income Statement BvA'!#REF!,'Income Statement BvA'!$L$286,'Income Statement BvA'!#REF!,'Income Statement BvA'!$L$287,'Income Statement BvA'!#REF!,'Income Statement BvA'!$L$288,'Income Statement BvA'!#REF!,'Income Statement BvA'!$L$289,'Income Statement BvA'!#REF!</definedName>
    <definedName name="QB_FORMULA_29" localSheetId="1" hidden="1">'Income Statement BvA'!#REF!,'Income Statement BvA'!#REF!,'Income Statement BvA'!$L$292,'Income Statement BvA'!#REF!,'Income Statement BvA'!$L$293,'Income Statement BvA'!#REF!,'Income Statement BvA'!$L$295,'Income Statement BvA'!#REF!,'Income Statement BvA'!$L$296,'Income Statement BvA'!#REF!,'Income Statement BvA'!$L$297,'Income Statement BvA'!#REF!,'Income Statement BvA'!$L$298,'Income Statement BvA'!#REF!,'Income Statement BvA'!$L$300,'Income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BvA'!$L$301,'Income Statement BvA'!#REF!,'Income Statement BvA'!$L$302,'Income Statement BvA'!$I$303,'Income Statement BvA'!#REF!,'Income Statement BvA'!#REF!,'Income Statement BvA'!$J$303,'Income Statement BvA'!$K$303,'Income Statement BvA'!$L$303,'Income Statement BvA'!#REF!,'Income Statement BvA'!#REF!,'Income Statement BvA'!$L$304,'Income Statement BvA'!#REF!,'Income Statement BvA'!$L$305,'Income Statement BvA'!#REF!,'Income Statement BvA'!$L$306</definedName>
    <definedName name="QB_FORMULA_31" localSheetId="1" hidden="1">'Income Statement BvA'!#REF!,'Income Statement BvA'!$L$307,'Income Statement BvA'!#REF!,'Income Statement BvA'!$L$309,'Income Statement BvA'!$I$310,'Income Statement BvA'!#REF!,'Income Statement BvA'!#REF!,'Income Statement BvA'!$J$310,'Income Statement BvA'!$K$310,'Income Statement BvA'!$L$310,'Income Statement BvA'!#REF!,'Income Statement BvA'!#REF!,'Income Statement BvA'!$L$311,'Income Statement BvA'!#REF!,'Income Statement BvA'!$L$312,'Income Statement BvA'!$I$313</definedName>
    <definedName name="QB_FORMULA_32" localSheetId="1" hidden="1">'Income Statement BvA'!#REF!,'Income Statement BvA'!#REF!,'Income Statement BvA'!$J$313,'Income Statement BvA'!$K$313,'Income Statement BvA'!$L$313,'Income Statement BvA'!#REF!,'Income Statement BvA'!$I$314,'Income Statement BvA'!#REF!,'Income Statement BvA'!#REF!,'Income Statement BvA'!$J$314,'Income Statement BvA'!$K$314,'Income Statement BvA'!$L$314,'Income Statement BvA'!#REF!,'Income Statement BvA'!$I$315,'Income Statement BvA'!#REF!,'Income Statement BvA'!#REF!</definedName>
    <definedName name="QB_FORMULA_33" localSheetId="1" hidden="1">'Income Statement BvA'!$J$315,'Income Statement BvA'!$K$315,'Income Statement BvA'!$L$315,'Income Statement BvA'!#REF!,'Income Statement BvA'!$I$332,'Income Statement BvA'!$J$332,'Income Statement BvA'!$I$344,'Income Statement BvA'!$J$344,'Income Statement BvA'!$I$345,'Income Statement BvA'!$J$345,'Income Statement BvA'!$I$355,'Income Statement BvA'!$J$355,'Income Statement BvA'!#REF!,'Income Statement BvA'!#REF!,'Income Statement BvA'!$I$364,'Income Statement BvA'!$J$364</definedName>
    <definedName name="QB_FORMULA_34" localSheetId="1" hidden="1">'Income Statement BvA'!$I$365,'Income Statement BvA'!$J$365,'Income Statement BvA'!$I$366,'Income Statement BvA'!$J$366,'Income Statement BvA'!$I$368,'Income Statement BvA'!#REF!,'Income Statement BvA'!#REF!,'Income Statement BvA'!$J$368,'Income Statement BvA'!$K$368,'Income Statement BvA'!$L$368,'Income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BvA'!$L$91,'Income Statement BvA'!#REF!,'Income Statement BvA'!$L$93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BvA'!$L$94,'Income Statement BvA'!#REF!,'Income Statement BvA'!$L$95,'Income Statement BvA'!$I$96,'Income Statement BvA'!#REF!,'Income Statement BvA'!#REF!,'Income Statement BvA'!$J$96,'Income Statement BvA'!$K$96,'Income Statement BvA'!$L$96,'Income Statement BvA'!#REF!,'Income Statement BvA'!#REF!,'Income Statement BvA'!$L$100,'Income Statement BvA'!#REF!,'Income Statement BvA'!$L$105,'Income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BvA'!$L$107,'Income Statement BvA'!#REF!,'Income Statement BvA'!$L$108,'Income Statement BvA'!#REF!,'Income Statement BvA'!$L$109,'Income Statement BvA'!#REF!,'Income Statement BvA'!$L$110,'Income Statement BvA'!#REF!,'Income Statement BvA'!$L$111,'Income Statement BvA'!$I$115,'Income Statement BvA'!#REF!,'Income Statement BvA'!#REF!,'Income Statement BvA'!$J$115,'Income Statement BvA'!$K$115,'Income Statement BvA'!$L$115,'Income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BvA'!$L$116,'Income Statement BvA'!#REF!,'Income Statement BvA'!$L$118,'Income Statement BvA'!#REF!,'Income Statement BvA'!$L$119,'Income Statement BvA'!#REF!,'Income Statement BvA'!$L$120,'Income Statement BvA'!#REF!,'Income Statement BvA'!$L$122,'Income Statement BvA'!$I$124,'Income Statement BvA'!#REF!,'Income Statement BvA'!#REF!,'Income Statement BvA'!$J$124,'Income Statement BvA'!$K$124,'Income Statement BvA'!$L$124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BvA'!$E$116</definedName>
    <definedName name="QB_ROW_117040" localSheetId="1" hidden="1">'Income Statement BvA'!$E$150</definedName>
    <definedName name="QB_ROW_117340" localSheetId="1" hidden="1">'Income Statement BvA'!$E$214</definedName>
    <definedName name="QB_ROW_119040" localSheetId="1" hidden="1">'Income Statement BvA'!$E$267</definedName>
    <definedName name="QB_ROW_119340" localSheetId="1" hidden="1">'Income Statement BvA'!$E$269</definedName>
    <definedName name="QB_ROW_120050" localSheetId="1" hidden="1">'Income Statement BvA'!$F$162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BvA'!$F$170</definedName>
    <definedName name="QB_ROW_121230" localSheetId="1" hidden="1">'Income Statement BvA'!$F$347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BvA'!$F$161</definedName>
    <definedName name="QB_ROW_124050" localSheetId="1" hidden="1">'Income Statement BvA'!$F$171</definedName>
    <definedName name="QB_ROW_124350" localSheetId="1" hidden="1">'Income Statement BvA'!$F$182</definedName>
    <definedName name="QB_ROW_128240" localSheetId="1" hidden="1">'Income Statement BvA'!$E$341</definedName>
    <definedName name="QB_ROW_130240" localSheetId="1" hidden="1">'Income Statement BvA'!$E$342</definedName>
    <definedName name="QB_ROW_1311" localSheetId="0" hidden="1">'Balance Sheet'!$A$19</definedName>
    <definedName name="QB_ROW_131240" localSheetId="1" hidden="1">'Income Statement BvA'!$E$335</definedName>
    <definedName name="QB_ROW_13220" localSheetId="0" hidden="1">'Balance Sheet'!#REF!</definedName>
    <definedName name="QB_ROW_133240" localSheetId="1" hidden="1">'Income Statement BvA'!$E$334</definedName>
    <definedName name="QB_ROW_135240" localSheetId="1" hidden="1">'Income Statement BvA'!$E$338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BvA'!$E$361</definedName>
    <definedName name="QB_ROW_148030" localSheetId="1" hidden="1">'Income Statement BvA'!#REF!</definedName>
    <definedName name="QB_ROW_148330" localSheetId="1" hidden="1">'Income Statement BvA'!$D$344</definedName>
    <definedName name="QB_ROW_149030" localSheetId="1" hidden="1">'Income Statement BvA'!$D$318</definedName>
    <definedName name="QB_ROW_149330" localSheetId="1" hidden="1">'Income Statement BvA'!$D$332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BvA'!$G$348</definedName>
    <definedName name="QB_ROW_151330" localSheetId="1" hidden="1">'Income Statement BvA'!#REF!</definedName>
    <definedName name="QB_ROW_153250" localSheetId="1" hidden="1">'Income Statement BvA'!$F$119</definedName>
    <definedName name="QB_ROW_153250" localSheetId="2" hidden="1">'Meeting Income Statement BvA'!$F$10</definedName>
    <definedName name="QB_ROW_160050" localSheetId="1" hidden="1">'Income Statement BvA'!$F$121</definedName>
    <definedName name="QB_ROW_160050" localSheetId="2" hidden="1">'Meeting Income Statement BvA'!$F$13</definedName>
    <definedName name="QB_ROW_160350" localSheetId="1" hidden="1">'Income Statement BvA'!$F$124</definedName>
    <definedName name="QB_ROW_160350" localSheetId="2" hidden="1">'Meeting Income Statement BvA'!$F$15</definedName>
    <definedName name="QB_ROW_162250" localSheetId="1" hidden="1">'Income Statement BvA'!$F$142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BvA'!$F$231</definedName>
    <definedName name="QB_ROW_167250" localSheetId="2" hidden="1">'Meeting Income Statement BvA'!$F$51</definedName>
    <definedName name="QB_ROW_169250" localSheetId="1" hidden="1">'Income Statement BvA'!$F$233</definedName>
    <definedName name="QB_ROW_169250" localSheetId="2" hidden="1">'Meeting Income Statement BvA'!$F$53</definedName>
    <definedName name="QB_ROW_170250" localSheetId="1" hidden="1">'Income Statement BvA'!$F$232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BvA'!$F$226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BvA'!$E$117</definedName>
    <definedName name="QB_ROW_18040" localSheetId="2" hidden="1">'Meeting Income Statement BvA'!$E$8</definedName>
    <definedName name="QB_ROW_182260" localSheetId="1" hidden="1">'Income Statement BvA'!$G$218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BvA'!$G$221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BvA'!$G$223</definedName>
    <definedName name="QB_ROW_184260" localSheetId="2" hidden="1">'Meeting Income Statement BvA'!$G$44</definedName>
    <definedName name="QB_ROW_185260" localSheetId="1" hidden="1">'Income Statement BvA'!$G$224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BvA'!$F$120</definedName>
    <definedName name="QB_ROW_19250" localSheetId="2" hidden="1">'Meeting Income Statement BvA'!$F$12</definedName>
    <definedName name="QB_ROW_19311" localSheetId="1" hidden="1">'Income Statement BvA'!$B$315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BvA'!$F$134</definedName>
    <definedName name="QB_ROW_20350" localSheetId="2" hidden="1">'Meeting Income Statement BvA'!$F$17</definedName>
    <definedName name="QB_ROW_206260" localSheetId="1" hidden="1">'Income Statement BvA'!$G$167</definedName>
    <definedName name="QB_ROW_207260" localSheetId="1" hidden="1">'Income Statement BvA'!$G$164</definedName>
    <definedName name="QB_ROW_208260" localSheetId="1" hidden="1">'Income Statement BvA'!$G$301</definedName>
    <definedName name="QB_ROW_209260" localSheetId="1" hidden="1">'Income Statement BvA'!#REF!</definedName>
    <definedName name="QB_ROW_21031" localSheetId="1" hidden="1">'Income Statement BvA'!$D$148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BvA'!$G$298</definedName>
    <definedName name="QB_ROW_216240" localSheetId="1" hidden="1">'Income Statement BvA'!$E$339</definedName>
    <definedName name="QB_ROW_217240" localSheetId="1" hidden="1">'Income Statement BvA'!$E$343</definedName>
    <definedName name="QB_ROW_22011" localSheetId="1" hidden="1">'Income Statement BvA'!$B$316</definedName>
    <definedName name="QB_ROW_220240" localSheetId="1" hidden="1">'Income Statement BvA'!$E$359</definedName>
    <definedName name="QB_ROW_22050" localSheetId="1" hidden="1">'Income Statement BvA'!$F$135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BvA'!$B$366</definedName>
    <definedName name="QB_ROW_22350" localSheetId="1" hidden="1">'Income Statement BvA'!$F$140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BvA'!$C$317</definedName>
    <definedName name="QB_ROW_231260" localSheetId="1" hidden="1">'Income Statement BvA'!$G$309</definedName>
    <definedName name="QB_ROW_2321" localSheetId="0" hidden="1">'Balance Sheet'!#REF!</definedName>
    <definedName name="QB_ROW_232240" localSheetId="1" hidden="1">'Income Statement BvA'!$E$340</definedName>
    <definedName name="QB_ROW_23321" localSheetId="1" hidden="1">'Income Statement BvA'!$D$345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BvA'!$C$365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BvA'!$G$175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BvA'!$G$302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BvA'!$G$158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BvA'!$G$152</definedName>
    <definedName name="QB_ROW_357260" localSheetId="1" hidden="1">'Income Statement BvA'!$G$300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BvA'!$A$177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BvA'!$F$205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BvA'!$E$215</definedName>
    <definedName name="QB_ROW_41040" localSheetId="2" hidden="1">'Meeting Income Statement BvA'!$E$39</definedName>
    <definedName name="QB_ROW_41340" localSheetId="1" hidden="1">'Income Statement BvA'!$E$266</definedName>
    <definedName name="QB_ROW_41340" localSheetId="2" hidden="1">'Meeting Income Statement BvA'!$E$81</definedName>
    <definedName name="QB_ROW_42250" localSheetId="1" hidden="1">'Income Statement BvA'!$F$236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BvA'!$E$96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BvA'!$F$225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BvA'!$A$178</definedName>
    <definedName name="QB_ROW_443260" localSheetId="1" hidden="1">'Income Statement BvA'!#REF!</definedName>
    <definedName name="QB_ROW_444260" localSheetId="1" hidden="1">'Income Statement BvA'!$G$297</definedName>
    <definedName name="QB_ROW_46250" localSheetId="1" hidden="1">'Income Statement BvA'!$F$227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BvA'!$F$260</definedName>
    <definedName name="QB_ROW_52250" localSheetId="2" hidden="1">'Meeting Income Statement BvA'!$F$77</definedName>
    <definedName name="QB_ROW_524250" localSheetId="1" hidden="1">'Income Statement BvA'!$F$312</definedName>
    <definedName name="QB_ROW_526230" localSheetId="0" hidden="1">'Balance Sheet'!#REF!</definedName>
    <definedName name="QB_ROW_527250" localSheetId="1" hidden="1">'Income Statement BvA'!$F$285</definedName>
    <definedName name="QB_ROW_528250" localSheetId="1" hidden="1">'Income Statement BvA'!#REF!</definedName>
    <definedName name="QB_ROW_529260" localSheetId="1" hidden="1">'Income Statement BvA'!$G$295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BvA'!$G$296</definedName>
    <definedName name="QB_ROW_535250" localSheetId="1" hidden="1">'Income Statement BvA'!#REF!</definedName>
    <definedName name="QB_ROW_536260" localSheetId="1" hidden="1">'Income Statement BvA'!$G$136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BvA'!$F$237</definedName>
    <definedName name="QB_ROW_548250" localSheetId="2" hidden="1">'Meeting Income Statement BvA'!$F$58</definedName>
    <definedName name="QB_ROW_549260" localSheetId="1" hidden="1">'Income Statement BvA'!$G$255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BvA'!$F$257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BvA'!$F$259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BvA'!$E$97</definedName>
    <definedName name="QB_ROW_558340" localSheetId="1" hidden="1">'Income Statement BvA'!$E$115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BvA'!$E$331</definedName>
    <definedName name="QB_ROW_568250" localSheetId="1" hidden="1">'Income Statement BvA'!$F$105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BvA'!$G$191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BvA'!$F$246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BvA'!$G$247</definedName>
    <definedName name="QB_ROW_597260" localSheetId="2" hidden="1">'Meeting Income Statement BvA'!$G$66</definedName>
    <definedName name="QB_ROW_598260" localSheetId="1" hidden="1">'Income Statement BvA'!$G$250</definedName>
    <definedName name="QB_ROW_598260" localSheetId="2" hidden="1">'Meeting Income Statement BvA'!$G$67</definedName>
    <definedName name="QB_ROW_599260" localSheetId="1" hidden="1">'Income Statement BvA'!$G$251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BvA'!$F$107</definedName>
    <definedName name="QB_ROW_608250" localSheetId="1" hidden="1">'Income Statement BvA'!$F$108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BvA'!$F$261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BvA'!$G$252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BvA'!$G$196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BvA'!$G$200</definedName>
    <definedName name="QB_ROW_649250" localSheetId="1" hidden="1">'Income Statement BvA'!$F$292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BvA'!$F$91</definedName>
    <definedName name="QB_ROW_670250" localSheetId="1" hidden="1">'Income Statement BvA'!#REF!</definedName>
    <definedName name="QB_ROW_671260" localSheetId="1" hidden="1">'Income Statement BvA'!$G$203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BvA'!$G$137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BvA'!$E$270</definedName>
    <definedName name="QB_ROW_681260" localSheetId="1" hidden="1">'Income Statement BvA'!$G$243</definedName>
    <definedName name="QB_ROW_681260" localSheetId="2" hidden="1">'Meeting Income Statement BvA'!$G$63</definedName>
    <definedName name="QB_ROW_682260" localSheetId="1" hidden="1">'Income Statement BvA'!$G$241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BvA'!$F$93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BvA'!$F$305</definedName>
    <definedName name="QB_ROW_71250" localSheetId="1" hidden="1">'Income Statement BvA'!$F$306</definedName>
    <definedName name="QB_ROW_72250" localSheetId="1" hidden="1">'Income Statement BvA'!$F$307</definedName>
    <definedName name="QB_ROW_7301" localSheetId="0" hidden="1">'Balance Sheet'!#REF!</definedName>
    <definedName name="QB_ROW_73050" localSheetId="1" hidden="1">'Income Statement BvA'!$F$308</definedName>
    <definedName name="QB_ROW_73350" localSheetId="1" hidden="1">'Income Statement BvA'!$F$310</definedName>
    <definedName name="QB_ROW_75050" localSheetId="1" hidden="1">'Income Statement BvA'!$F$279</definedName>
    <definedName name="QB_ROW_75260" localSheetId="1" hidden="1">'Income Statement BvA'!#REF!</definedName>
    <definedName name="QB_ROW_75350" localSheetId="1" hidden="1">'Income Statement BvA'!$F$282</definedName>
    <definedName name="QB_ROW_76250" localSheetId="1" hidden="1">'Income Statement BvA'!$F$283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BvA'!$F$303</definedName>
    <definedName name="QB_ROW_86321" localSheetId="1" hidden="1">'Income Statement BvA'!$C$147</definedName>
    <definedName name="QB_ROW_86321" localSheetId="2" hidden="1">'Meeting Income Statement BvA'!$C$37</definedName>
    <definedName name="QB_ROW_88250" localSheetId="1" hidden="1">'Income Statement BvA'!$F$304</definedName>
    <definedName name="QB_ROW_89250" localSheetId="1" hidden="1">'Income Statement BvA'!$F$311</definedName>
    <definedName name="QB_ROW_9021" localSheetId="0" hidden="1">'Balance Sheet'!#REF!</definedName>
    <definedName name="QB_ROW_90260" localSheetId="1" hidden="1">'Income Statement BvA'!$G$212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6" i="3" l="1"/>
  <c r="B196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C195" i="3" s="1"/>
  <c r="B181" i="3"/>
  <c r="B195" i="3" s="1"/>
  <c r="C180" i="3"/>
  <c r="B180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C178" i="3" s="1"/>
  <c r="B168" i="3"/>
  <c r="B178" i="3" s="1"/>
  <c r="C166" i="3"/>
  <c r="B166" i="3"/>
  <c r="C165" i="3"/>
  <c r="C197" i="3" s="1"/>
  <c r="B165" i="3"/>
  <c r="C160" i="3"/>
  <c r="B160" i="3"/>
  <c r="C159" i="3"/>
  <c r="B159" i="3"/>
  <c r="C158" i="3"/>
  <c r="B158" i="3"/>
  <c r="C155" i="3"/>
  <c r="B155" i="3"/>
  <c r="C154" i="3"/>
  <c r="C156" i="3" s="1"/>
  <c r="B154" i="3"/>
  <c r="B156" i="3" s="1"/>
  <c r="C153" i="3"/>
  <c r="B153" i="3"/>
  <c r="C152" i="3"/>
  <c r="B152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C150" i="3" s="1"/>
  <c r="B142" i="3"/>
  <c r="B150" i="3" s="1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C125" i="3" s="1"/>
  <c r="B114" i="3"/>
  <c r="B125" i="3" s="1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C112" i="3" s="1"/>
  <c r="B97" i="3"/>
  <c r="B112" i="3" s="1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C95" i="3" s="1"/>
  <c r="B82" i="3"/>
  <c r="B95" i="3" s="1"/>
  <c r="C81" i="3"/>
  <c r="B81" i="3"/>
  <c r="C80" i="3"/>
  <c r="B80" i="3"/>
  <c r="C79" i="3"/>
  <c r="B79" i="3"/>
  <c r="C77" i="3"/>
  <c r="B77" i="3"/>
  <c r="B75" i="3"/>
  <c r="B76" i="3" s="1"/>
  <c r="C74" i="3"/>
  <c r="B74" i="3"/>
  <c r="C73" i="3"/>
  <c r="B73" i="3"/>
  <c r="C72" i="3"/>
  <c r="B72" i="3"/>
  <c r="C71" i="3"/>
  <c r="B71" i="3"/>
  <c r="C70" i="3"/>
  <c r="B70" i="3"/>
  <c r="C69" i="3"/>
  <c r="C75" i="3" s="1"/>
  <c r="C76" i="3" s="1"/>
  <c r="B69" i="3"/>
  <c r="C68" i="3"/>
  <c r="B68" i="3"/>
  <c r="C67" i="3"/>
  <c r="B67" i="3"/>
  <c r="C66" i="3"/>
  <c r="B66" i="3"/>
  <c r="C64" i="3"/>
  <c r="B64" i="3"/>
  <c r="C63" i="3"/>
  <c r="B63" i="3"/>
  <c r="C62" i="3"/>
  <c r="B62" i="3"/>
  <c r="C61" i="3"/>
  <c r="B61" i="3"/>
  <c r="C60" i="3"/>
  <c r="B60" i="3"/>
  <c r="C58" i="3"/>
  <c r="B58" i="3"/>
  <c r="C57" i="3"/>
  <c r="C59" i="3" s="1"/>
  <c r="B57" i="3"/>
  <c r="C56" i="3"/>
  <c r="B56" i="3"/>
  <c r="C55" i="3"/>
  <c r="B55" i="3"/>
  <c r="C54" i="3"/>
  <c r="B54" i="3"/>
  <c r="B59" i="3" s="1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C53" i="3" s="1"/>
  <c r="B45" i="3"/>
  <c r="B53" i="3" s="1"/>
  <c r="B65" i="3" s="1"/>
  <c r="C44" i="3"/>
  <c r="B44" i="3"/>
  <c r="C41" i="3"/>
  <c r="C40" i="3"/>
  <c r="B40" i="3"/>
  <c r="B41" i="3" s="1"/>
  <c r="C33" i="3"/>
  <c r="C34" i="3" s="1"/>
  <c r="B33" i="3"/>
  <c r="B34" i="3" s="1"/>
  <c r="C32" i="3"/>
  <c r="B32" i="3"/>
  <c r="C28" i="3"/>
  <c r="B28" i="3"/>
  <c r="C27" i="3"/>
  <c r="B27" i="3"/>
  <c r="C25" i="3"/>
  <c r="B25" i="3"/>
  <c r="C24" i="3"/>
  <c r="B24" i="3"/>
  <c r="C23" i="3"/>
  <c r="B23" i="3"/>
  <c r="C22" i="3"/>
  <c r="B22" i="3"/>
  <c r="C21" i="3"/>
  <c r="B21" i="3"/>
  <c r="C20" i="3"/>
  <c r="C26" i="3" s="1"/>
  <c r="B20" i="3"/>
  <c r="B26" i="3" s="1"/>
  <c r="C19" i="3"/>
  <c r="B19" i="3"/>
  <c r="C18" i="3"/>
  <c r="B18" i="3"/>
  <c r="C17" i="3"/>
  <c r="B17" i="3"/>
  <c r="C14" i="3"/>
  <c r="C15" i="3" s="1"/>
  <c r="B14" i="3"/>
  <c r="B15" i="3" s="1"/>
  <c r="C12" i="3"/>
  <c r="B12" i="3"/>
  <c r="C11" i="3"/>
  <c r="B11" i="3"/>
  <c r="C10" i="3"/>
  <c r="B10" i="3"/>
  <c r="H73" i="1"/>
  <c r="J172" i="2"/>
  <c r="I64" i="1"/>
  <c r="K268" i="2"/>
  <c r="L250" i="2"/>
  <c r="K189" i="2"/>
  <c r="J189" i="2"/>
  <c r="I189" i="2"/>
  <c r="L187" i="2"/>
  <c r="L142" i="2"/>
  <c r="L135" i="2"/>
  <c r="L104" i="2"/>
  <c r="K105" i="2"/>
  <c r="J105" i="2"/>
  <c r="I105" i="2"/>
  <c r="L101" i="2"/>
  <c r="L96" i="2"/>
  <c r="L76" i="2"/>
  <c r="L75" i="2"/>
  <c r="L79" i="2"/>
  <c r="K91" i="2"/>
  <c r="L89" i="2"/>
  <c r="L90" i="2"/>
  <c r="L88" i="2"/>
  <c r="J91" i="2"/>
  <c r="I91" i="2"/>
  <c r="L71" i="2"/>
  <c r="L69" i="2"/>
  <c r="L67" i="2"/>
  <c r="C65" i="3" l="1"/>
  <c r="B126" i="3"/>
  <c r="B161" i="3" s="1"/>
  <c r="B162" i="3" s="1"/>
  <c r="B163" i="3" s="1"/>
  <c r="B198" i="3" s="1"/>
  <c r="B197" i="3"/>
  <c r="C126" i="3"/>
  <c r="B157" i="3"/>
  <c r="B29" i="3"/>
  <c r="B30" i="3" s="1"/>
  <c r="B35" i="3" s="1"/>
  <c r="C157" i="3"/>
  <c r="C29" i="3"/>
  <c r="C30" i="3" s="1"/>
  <c r="C35" i="3" s="1"/>
  <c r="L63" i="2"/>
  <c r="L52" i="2"/>
  <c r="J321" i="2"/>
  <c r="I321" i="2"/>
  <c r="I241" i="2"/>
  <c r="J241" i="2"/>
  <c r="J196" i="2"/>
  <c r="I196" i="2"/>
  <c r="J175" i="2"/>
  <c r="I42" i="2"/>
  <c r="I228" i="2"/>
  <c r="I234" i="2"/>
  <c r="I238" i="2"/>
  <c r="I124" i="2"/>
  <c r="J29" i="1"/>
  <c r="I31" i="1"/>
  <c r="H31" i="1"/>
  <c r="J136" i="2"/>
  <c r="I136" i="2"/>
  <c r="J210" i="2"/>
  <c r="I210" i="2"/>
  <c r="H15" i="1"/>
  <c r="I15" i="1"/>
  <c r="J80" i="1"/>
  <c r="K251" i="2"/>
  <c r="L245" i="2"/>
  <c r="K241" i="2"/>
  <c r="I251" i="2"/>
  <c r="J251" i="2"/>
  <c r="L251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3" i="2"/>
  <c r="J293" i="2"/>
  <c r="I286" i="2"/>
  <c r="J286" i="2"/>
  <c r="K286" i="2"/>
  <c r="L269" i="2"/>
  <c r="I268" i="2"/>
  <c r="J268" i="2"/>
  <c r="L267" i="2"/>
  <c r="L266" i="2"/>
  <c r="L263" i="2"/>
  <c r="I262" i="2"/>
  <c r="J262" i="2"/>
  <c r="L253" i="2"/>
  <c r="L240" i="2"/>
  <c r="K238" i="2"/>
  <c r="J238" i="2"/>
  <c r="L236" i="2"/>
  <c r="K234" i="2"/>
  <c r="J234" i="2"/>
  <c r="L230" i="2"/>
  <c r="J228" i="2"/>
  <c r="L217" i="2"/>
  <c r="L215" i="2"/>
  <c r="L213" i="2"/>
  <c r="K157" i="2"/>
  <c r="I157" i="2"/>
  <c r="J164" i="2"/>
  <c r="K199" i="2"/>
  <c r="L198" i="2"/>
  <c r="K196" i="2"/>
  <c r="L186" i="2"/>
  <c r="I172" i="2"/>
  <c r="I175" i="2" s="1"/>
  <c r="K172" i="2"/>
  <c r="K175" i="2" s="1"/>
  <c r="L171" i="2"/>
  <c r="L170" i="2"/>
  <c r="L168" i="2"/>
  <c r="L166" i="2"/>
  <c r="L162" i="2"/>
  <c r="L163" i="2"/>
  <c r="I164" i="2"/>
  <c r="K164" i="2"/>
  <c r="J157" i="2"/>
  <c r="K151" i="2"/>
  <c r="J151" i="2"/>
  <c r="I151" i="2"/>
  <c r="L134" i="2"/>
  <c r="K136" i="2"/>
  <c r="K124" i="2"/>
  <c r="L121" i="2"/>
  <c r="J124" i="2"/>
  <c r="J118" i="2"/>
  <c r="I118" i="2"/>
  <c r="L103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4" i="2"/>
  <c r="L295" i="2"/>
  <c r="L290" i="2"/>
  <c r="L292" i="2"/>
  <c r="L285" i="2"/>
  <c r="L276" i="2"/>
  <c r="L221" i="2"/>
  <c r="L176" i="2"/>
  <c r="L195" i="2"/>
  <c r="L194" i="2"/>
  <c r="L193" i="2"/>
  <c r="L192" i="2"/>
  <c r="L184" i="2"/>
  <c r="L181" i="2"/>
  <c r="L174" i="2"/>
  <c r="L161" i="2"/>
  <c r="L160" i="2"/>
  <c r="L159" i="2"/>
  <c r="L156" i="2"/>
  <c r="L155" i="2"/>
  <c r="L154" i="2"/>
  <c r="L153" i="2"/>
  <c r="L150" i="2"/>
  <c r="L149" i="2"/>
  <c r="L139" i="2"/>
  <c r="L138" i="2"/>
  <c r="L110" i="2"/>
  <c r="L109" i="2"/>
  <c r="L107" i="2"/>
  <c r="L102" i="2"/>
  <c r="L100" i="2"/>
  <c r="L97" i="2"/>
  <c r="L84" i="2"/>
  <c r="L85" i="2"/>
  <c r="L86" i="2"/>
  <c r="L32" i="2"/>
  <c r="K27" i="2"/>
  <c r="L82" i="2"/>
  <c r="L83" i="2"/>
  <c r="J20" i="2"/>
  <c r="K293" i="2"/>
  <c r="K254" i="2"/>
  <c r="K13" i="2"/>
  <c r="L273" i="2"/>
  <c r="C161" i="3" l="1"/>
  <c r="C162" i="3" s="1"/>
  <c r="C163" i="3" s="1"/>
  <c r="C198" i="3" s="1"/>
  <c r="J76" i="1"/>
  <c r="L124" i="2"/>
  <c r="K140" i="2"/>
  <c r="K143" i="2" s="1"/>
  <c r="K144" i="2" s="1"/>
  <c r="L105" i="2"/>
  <c r="L234" i="2"/>
  <c r="L268" i="2"/>
  <c r="L91" i="2"/>
  <c r="J246" i="2"/>
  <c r="I296" i="2"/>
  <c r="I246" i="2"/>
  <c r="J31" i="1"/>
  <c r="L151" i="2"/>
  <c r="L136" i="2"/>
  <c r="K246" i="2"/>
  <c r="L157" i="2"/>
  <c r="L238" i="2"/>
  <c r="J140" i="2"/>
  <c r="I140" i="2"/>
  <c r="I143" i="2" s="1"/>
  <c r="I144" i="2" s="1"/>
  <c r="L164" i="2"/>
  <c r="I331" i="2"/>
  <c r="J331" i="2"/>
  <c r="K200" i="2"/>
  <c r="J296" i="2"/>
  <c r="K296" i="2"/>
  <c r="L286" i="2"/>
  <c r="H35" i="1"/>
  <c r="H36" i="1" s="1"/>
  <c r="H37" i="1" s="1"/>
  <c r="I35" i="1"/>
  <c r="I36" i="1" s="1"/>
  <c r="I37" i="1" s="1"/>
  <c r="L189" i="2"/>
  <c r="L58" i="2"/>
  <c r="L59" i="2"/>
  <c r="L60" i="2"/>
  <c r="L61" i="2"/>
  <c r="L64" i="2"/>
  <c r="L66" i="2"/>
  <c r="L68" i="2"/>
  <c r="L72" i="2"/>
  <c r="L73" i="2"/>
  <c r="L81" i="2"/>
  <c r="L78" i="2"/>
  <c r="L77" i="2"/>
  <c r="I352" i="2"/>
  <c r="I359" i="2" s="1"/>
  <c r="J352" i="2"/>
  <c r="J359" i="2" s="1"/>
  <c r="L42" i="2"/>
  <c r="K297" i="2" l="1"/>
  <c r="K298" i="2" s="1"/>
  <c r="J37" i="1"/>
  <c r="L289" i="2"/>
  <c r="L288" i="2"/>
  <c r="L287" i="2"/>
  <c r="L284" i="2"/>
  <c r="L283" i="2"/>
  <c r="L282" i="2"/>
  <c r="L281" i="2"/>
  <c r="L280" i="2"/>
  <c r="L279" i="2"/>
  <c r="L277" i="2"/>
  <c r="L275" i="2"/>
  <c r="L274" i="2"/>
  <c r="L272" i="2"/>
  <c r="L271" i="2"/>
  <c r="L270" i="2"/>
  <c r="L222" i="2"/>
  <c r="I371" i="2"/>
  <c r="I372" i="2" s="1"/>
  <c r="J371" i="2"/>
  <c r="J372" i="2" s="1"/>
  <c r="I343" i="2"/>
  <c r="J343" i="2"/>
  <c r="J314" i="2"/>
  <c r="I314" i="2"/>
  <c r="L293" i="2"/>
  <c r="J254" i="2"/>
  <c r="L254" i="2" s="1"/>
  <c r="I254" i="2"/>
  <c r="J199" i="2"/>
  <c r="J200" i="2" s="1"/>
  <c r="I199" i="2"/>
  <c r="I200" i="2" s="1"/>
  <c r="I344" i="2" l="1"/>
  <c r="I373" i="2" s="1"/>
  <c r="I297" i="2"/>
  <c r="I298" i="2" s="1"/>
  <c r="L296" i="2"/>
  <c r="L196" i="2"/>
  <c r="L199" i="2"/>
  <c r="J344" i="2"/>
  <c r="J373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3" i="2" l="1"/>
  <c r="L143" i="2" s="1"/>
  <c r="L144" i="2" s="1"/>
  <c r="I374" i="2"/>
  <c r="L246" i="2"/>
  <c r="J297" i="2"/>
  <c r="L297" i="2" s="1"/>
  <c r="L140" i="2"/>
  <c r="L172" i="2"/>
  <c r="L175" i="2"/>
  <c r="L13" i="2"/>
  <c r="J144" i="2" l="1"/>
  <c r="J298" i="2" s="1"/>
  <c r="J374" i="2" s="1"/>
  <c r="L200" i="2"/>
  <c r="I73" i="1"/>
  <c r="H81" i="1"/>
  <c r="I70" i="1"/>
  <c r="I81" i="1" l="1"/>
  <c r="J81" i="1" s="1"/>
  <c r="L298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<sst xmlns="http://schemas.openxmlformats.org/spreadsheetml/2006/main" count="646" uniqueCount="635">
  <si>
    <t>American Society for Indexing</t>
  </si>
  <si>
    <t>Comparative Balance Sheet</t>
  </si>
  <si>
    <t>Total</t>
  </si>
  <si>
    <t>ASSETS</t>
  </si>
  <si>
    <t>TOTAL ASSETS</t>
  </si>
  <si>
    <t>LIABILITIES AND EQUITY</t>
  </si>
  <si>
    <t>Net Income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</si>
  <si>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</si>
  <si>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</si>
  <si>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</si>
  <si>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</si>
  <si>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</si>
  <si>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</si>
  <si>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</si>
  <si>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</si>
  <si>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</si>
  <si>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</si>
  <si>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</si>
  <si>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</si>
  <si>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</si>
  <si>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</si>
  <si>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</si>
  <si>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</si>
  <si>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</si>
  <si>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</si>
  <si>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</si>
  <si>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</si>
  <si>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</si>
  <si>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</si>
  <si>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</si>
  <si>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</si>
  <si>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</si>
  <si>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</si>
  <si>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</si>
  <si>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</si>
  <si>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</si>
  <si>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</si>
  <si>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</si>
  <si>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</si>
  <si>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</si>
  <si>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</si>
  <si>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</si>
  <si>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</si>
  <si>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</si>
  <si>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</si>
  <si>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</si>
  <si>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</si>
  <si>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</si>
  <si>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</si>
  <si>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</si>
  <si>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</si>
  <si>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</si>
  <si>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</si>
  <si>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</si>
  <si>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</si>
  <si>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</si>
  <si>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</si>
  <si>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</si>
  <si>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</si>
  <si>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</si>
  <si>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</si>
  <si>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</si>
  <si>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</si>
  <si>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</si>
  <si>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</si>
  <si>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</si>
  <si>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</si>
  <si>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</si>
  <si>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</si>
  <si>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</si>
  <si>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</si>
  <si>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</si>
  <si>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</si>
  <si>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</si>
  <si>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</si>
  <si>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</si>
  <si>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</si>
  <si>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</si>
  <si>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</si>
  <si>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</si>
  <si>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</si>
  <si>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</si>
  <si>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</si>
  <si>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</si>
  <si>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</si>
  <si>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</si>
  <si>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</si>
  <si>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</si>
  <si>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</si>
  <si>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</si>
  <si>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</si>
  <si>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</si>
  <si>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</si>
  <si>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</si>
  <si>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</si>
  <si>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</si>
  <si>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</si>
  <si>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</si>
  <si>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</si>
  <si>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</si>
  <si>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</si>
  <si>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</si>
  <si>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</si>
  <si>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</si>
  <si>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</si>
  <si>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</si>
  <si>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</si>
  <si>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</si>
  <si>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</si>
  <si>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</si>
  <si>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</si>
  <si>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</si>
  <si>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</si>
  <si>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</si>
  <si>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</si>
  <si>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</si>
  <si>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</si>
  <si>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</si>
  <si>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</si>
  <si>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</si>
  <si>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</si>
  <si>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</si>
  <si>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</si>
  <si>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</si>
  <si>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</si>
  <si>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</si>
  <si>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</si>
  <si>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</si>
  <si>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</si>
  <si>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</si>
  <si>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</si>
  <si>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</si>
  <si>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</si>
  <si>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</si>
  <si>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</si>
  <si>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</si>
  <si>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</si>
  <si>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</si>
  <si>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</si>
  <si>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</si>
  <si>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</si>
  <si>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</si>
  <si>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</si>
  <si>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</si>
  <si>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</si>
  <si>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</si>
  <si>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</si>
  <si>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</si>
  <si>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</si>
  <si>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</si>
  <si>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</si>
  <si>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</si>
  <si>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</si>
  <si>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</si>
  <si>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</si>
  <si>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</si>
  <si>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</si>
  <si>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</si>
  <si>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</si>
  <si>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</si>
  <si>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</si>
  <si>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</si>
  <si>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</si>
  <si>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</si>
  <si>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</si>
  <si>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</si>
  <si>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</si>
  <si>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</si>
  <si>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</si>
  <si>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</si>
  <si>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</si>
  <si>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</si>
  <si>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</si>
  <si>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</si>
  <si>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</si>
  <si>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</si>
  <si>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</si>
  <si>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</si>
  <si>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</si>
  <si>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</si>
  <si>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</si>
  <si>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</si>
  <si>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</si>
  <si>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</si>
  <si>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</si>
  <si>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</si>
  <si>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</si>
  <si>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</si>
  <si>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</si>
  <si>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</si>
  <si>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</si>
  <si>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</si>
  <si>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</si>
  <si>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</si>
  <si>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</si>
  <si>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</si>
  <si>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</si>
  <si>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</si>
  <si>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</si>
  <si>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</si>
  <si>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</si>
  <si>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</si>
  <si>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</si>
  <si>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</si>
  <si>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</si>
  <si>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</si>
  <si>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</si>
  <si>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</si>
  <si>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</si>
  <si>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</si>
  <si>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</si>
  <si>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</si>
  <si>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</si>
  <si>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</si>
  <si>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</si>
  <si>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</si>
  <si>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</si>
  <si>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</si>
  <si>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</si>
  <si>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</si>
  <si>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</si>
  <si>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</si>
  <si>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</si>
  <si>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</si>
  <si>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</si>
  <si>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</si>
  <si>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</si>
  <si>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</si>
  <si>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</si>
  <si>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</si>
  <si>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</si>
  <si>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</si>
  <si>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</si>
  <si>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</si>
  <si>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</si>
  <si>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</si>
  <si>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</si>
  <si>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</si>
  <si>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</si>
  <si>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</si>
  <si>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</si>
  <si>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</si>
  <si>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</si>
  <si>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</si>
  <si>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</si>
  <si>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</si>
  <si>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</si>
  <si>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</si>
  <si>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</si>
  <si>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</si>
  <si>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</si>
  <si>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</si>
  <si>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</si>
  <si>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</si>
  <si>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</si>
  <si>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</si>
  <si>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</si>
  <si>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</si>
  <si>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</si>
  <si>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</si>
  <si>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</si>
  <si>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</si>
  <si>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</si>
  <si>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</si>
  <si>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</si>
  <si>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</si>
  <si>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</si>
  <si>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</si>
  <si>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</si>
  <si>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</si>
  <si>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</si>
  <si>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</si>
  <si>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</si>
  <si>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</si>
  <si>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</si>
  <si>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</si>
  <si>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</si>
  <si>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</si>
  <si>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</si>
  <si>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</si>
  <si>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</si>
  <si>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</si>
  <si>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</si>
  <si>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</si>
  <si>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</si>
  <si>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</si>
  <si>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</si>
  <si>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</si>
  <si>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</si>
  <si>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</si>
  <si>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</si>
  <si>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</si>
  <si>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</si>
  <si>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</si>
  <si>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</si>
  <si>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</si>
  <si>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</si>
  <si>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</si>
  <si>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</si>
  <si>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</si>
  <si>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</si>
  <si>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</si>
  <si>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</si>
  <si>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</si>
  <si>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</si>
  <si>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</si>
  <si>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</si>
  <si>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</si>
  <si>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</si>
  <si>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</si>
  <si>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</si>
  <si>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</si>
  <si>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</si>
  <si>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</si>
  <si>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</si>
  <si>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</si>
  <si>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</si>
  <si>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</si>
  <si>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</si>
  <si>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</si>
  <si>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</si>
  <si>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</si>
  <si>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</si>
  <si>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</si>
  <si>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</si>
  <si>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</si>
  <si>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</si>
  <si>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</si>
  <si>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</si>
  <si>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</si>
  <si>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</si>
  <si>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</si>
  <si>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</si>
  <si>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</si>
  <si>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</si>
  <si>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</si>
  <si>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</si>
  <si>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</si>
  <si>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</si>
  <si>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</si>
  <si>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</si>
  <si>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</si>
  <si>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</si>
  <si>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</si>
  <si>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</si>
  <si>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</si>
  <si>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</si>
  <si>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</si>
  <si>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</si>
  <si>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</si>
  <si>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</si>
  <si>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</si>
  <si>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</si>
  <si>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</si>
  <si>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</si>
  <si>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</si>
  <si>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</si>
  <si>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</si>
  <si>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</si>
  <si>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</si>
  <si>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</si>
  <si>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</si>
  <si>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</si>
  <si>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</si>
  <si>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</si>
  <si>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</si>
  <si>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</si>
  <si>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</si>
  <si>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</si>
  <si>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</si>
  <si>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</si>
  <si>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</si>
  <si>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</si>
  <si>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</si>
  <si>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</si>
  <si>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</si>
  <si>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</si>
  <si>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</si>
  <si>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</si>
  <si>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</si>
  <si>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</si>
  <si>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</si>
  <si>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</si>
  <si>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</si>
  <si>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</si>
  <si>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</si>
  <si>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</si>
  <si>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</si>
  <si>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</si>
  <si>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</si>
  <si>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</si>
  <si>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</si>
  <si>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</si>
  <si>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</si>
  <si>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</si>
  <si>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</si>
  <si>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</si>
  <si>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</si>
  <si>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</si>
  <si>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</si>
  <si>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</si>
  <si>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</si>
  <si>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</si>
  <si>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</si>
  <si>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</si>
  <si>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</si>
  <si>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</si>
  <si>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</si>
  <si>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</si>
  <si>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</si>
  <si>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</si>
  <si>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</si>
  <si>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</si>
  <si>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</si>
  <si>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</si>
  <si>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</si>
  <si>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</si>
  <si>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</si>
  <si>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</si>
  <si>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</si>
  <si>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</si>
  <si>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</si>
  <si>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</si>
  <si>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</si>
  <si>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</si>
  <si>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</si>
  <si>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</si>
  <si>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</si>
  <si>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</si>
  <si>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</si>
  <si>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</si>
  <si>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</si>
  <si>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3274g Webinar 40 Mentorship</t>
  </si>
  <si>
    <t>Conference 2025</t>
  </si>
  <si>
    <t xml:space="preserve">   3477 Regular Expressions Workshop (Member)</t>
  </si>
  <si>
    <t>3477 Regular Expressions Workshop (Member)</t>
  </si>
  <si>
    <t>3171 Newsletter (Keywords)</t>
  </si>
  <si>
    <t xml:space="preserve">   3478 Regular Expressions Workshop (Non-Member)</t>
  </si>
  <si>
    <t>3478 Regular Expressions Workshop (Non-Member)</t>
  </si>
  <si>
    <t>As of June 30, 2025</t>
  </si>
  <si>
    <t>As of Jun 30, 2025</t>
  </si>
  <si>
    <t>As of Jun 30, 2024 (PY)</t>
  </si>
  <si>
    <t xml:space="preserve">   Current Assets</t>
  </si>
  <si>
    <t xml:space="preserve">      Bank Accounts</t>
  </si>
  <si>
    <t xml:space="preserve">         1010 Wells Fargo 7687</t>
  </si>
  <si>
    <t xml:space="preserve">         1040 Wells Fargo 2473</t>
  </si>
  <si>
    <t xml:space="preserve">      Total Bank Accounts</t>
  </si>
  <si>
    <t xml:space="preserve">      Accounts Receivable</t>
  </si>
  <si>
    <t xml:space="preserve">         1110 Accounts Receivable</t>
  </si>
  <si>
    <t xml:space="preserve">      Total Accounts Receivable</t>
  </si>
  <si>
    <t xml:space="preserve">      Other Current Assets</t>
  </si>
  <si>
    <t xml:space="preserve">         12000 Undeposited Funds</t>
  </si>
  <si>
    <t xml:space="preserve">         1310 Prepaid Expenses</t>
  </si>
  <si>
    <t xml:space="preserve">            1311 Other Prepaid Expenses</t>
  </si>
  <si>
    <t xml:space="preserve">            1312 Insurance Prepaid Expenses</t>
  </si>
  <si>
    <t xml:space="preserve">            1313 Website Prepaid Expenses</t>
  </si>
  <si>
    <t xml:space="preserve">            1314 Prepaid Expenses Next Yr</t>
  </si>
  <si>
    <t xml:space="preserve">            1315 Prepaid Expenses-2 YR</t>
  </si>
  <si>
    <t xml:space="preserve">            1316 Prepaid Expenses-3 Yr</t>
  </si>
  <si>
    <t xml:space="preserve">            1318 Prepaid - annual meeting</t>
  </si>
  <si>
    <t xml:space="preserve">         Total 1310 Prepaid Expenses</t>
  </si>
  <si>
    <t xml:space="preserve">         1320 A/R - Tax Withholding</t>
  </si>
  <si>
    <t xml:space="preserve">         1321 Due from Chapter and / or Sig</t>
  </si>
  <si>
    <t xml:space="preserve">      Total Other Current Assets</t>
  </si>
  <si>
    <t xml:space="preserve">   Total Current Assets</t>
  </si>
  <si>
    <t xml:space="preserve">   Fixed Assets</t>
  </si>
  <si>
    <t xml:space="preserve">      1500 Equipment</t>
  </si>
  <si>
    <t xml:space="preserve">      1501 Accumulated Depreciation</t>
  </si>
  <si>
    <t xml:space="preserve">   Total Fixed Assets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</si>
  <si>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</si>
  <si>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</si>
  <si>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</si>
  <si>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</t>
  </si>
  <si>
    <t xml:space="preserve">         Total Accounts Payable</t>
  </si>
  <si>
    <t xml:space="preserve">         Other Current Liabilities</t>
  </si>
  <si>
    <t xml:space="preserve">            2500 Def Revenue Dues</t>
  </si>
  <si>
    <t xml:space="preserve">               2510 Deferred Revenue Dues</t>
  </si>
  <si>
    <t xml:space="preserve">                  2511 Deferred Dues-Regular</t>
  </si>
  <si>
    <t xml:space="preserve">                  2512 Deferred Dues-Regular New</t>
  </si>
  <si>
    <t xml:space="preserve">                  2513 Deferred Dues-Retired</t>
  </si>
  <si>
    <t xml:space="preserve">                  2514 Deferred Dues-Organizational</t>
  </si>
  <si>
    <t xml:space="preserve">                  2515 Deferred Dues-Organization New</t>
  </si>
  <si>
    <t xml:space="preserve">                  2517 Deferred Dues - Indexer Locator</t>
  </si>
  <si>
    <t xml:space="preserve">                  2518 Additional Chapter</t>
  </si>
  <si>
    <t xml:space="preserve">                  2527 Def Dues-Magazine-Keywords Subs</t>
  </si>
  <si>
    <t xml:space="preserve">               Total 2510 Deferred Revenue Dues</t>
  </si>
  <si>
    <t xml:space="preserve">               2520 2nd YR Deferred Membership Due</t>
  </si>
  <si>
    <t xml:space="preserve">                  2521 DeferDues-Regular 2nd YR</t>
  </si>
  <si>
    <t xml:space="preserve">                  2522 DeferDues-Regular New-2nd YR</t>
  </si>
  <si>
    <t xml:space="preserve">                  2523 DeferDues-Retired 2nd YR</t>
  </si>
  <si>
    <t xml:space="preserve">                  2528 DeferDues - Locator 2nd Yr</t>
  </si>
  <si>
    <t xml:space="preserve">               Total 2520 2nd YR Deferred Membership Due</t>
  </si>
  <si>
    <t xml:space="preserve">               2530 3rd YR Deferred Membership Due</t>
  </si>
  <si>
    <t xml:space="preserve">                  2531 DeferDues-Regular 3rd YR</t>
  </si>
  <si>
    <t xml:space="preserve">                  2533 DeferDues-Retired 3rd YR</t>
  </si>
  <si>
    <t xml:space="preserve">               Total 2530 3rd YR Deferred Membership Due</t>
  </si>
  <si>
    <t xml:space="preserve">               2540 4th YR Deferred Membership Due</t>
  </si>
  <si>
    <t xml:space="preserve">            Total 2500 Def Revenue Dues</t>
  </si>
  <si>
    <t xml:space="preserve">            2600 Deferred Revenue-Annual Meeting</t>
  </si>
  <si>
    <t xml:space="preserve">               2610 Next Yr Def Revenue-Annual MTG</t>
  </si>
  <si>
    <t xml:space="preserve">                  2602 Def-PreMtg Workshop 2</t>
  </si>
  <si>
    <t xml:space="preserve">                  2603 Def-PreMtg Workshop 3</t>
  </si>
  <si>
    <t xml:space="preserve">                  2605 Def-PreMtg Workshop 5</t>
  </si>
  <si>
    <t xml:space="preserve">                  2640 DEF-Ann Mtg</t>
  </si>
  <si>
    <t xml:space="preserve">                  2641 DEF-Annual MTG Member Registrat</t>
  </si>
  <si>
    <t xml:space="preserve">                  2643 DEF-Annual Mtg Misc</t>
  </si>
  <si>
    <t xml:space="preserve">                  2649 DEF-Annual MTG Special Events</t>
  </si>
  <si>
    <t xml:space="preserve">               Total 2610 Next Yr Def Revenue-Annual MTG</t>
  </si>
  <si>
    <t xml:space="preserve">            Total 2600 Deferred Revenue-Annual Meeting</t>
  </si>
  <si>
    <t xml:space="preserve">            2696 Deferred Revenue -Advertising</t>
  </si>
  <si>
    <t xml:space="preserve">            2700 Def Dues Chapters</t>
  </si>
  <si>
    <t xml:space="preserve">               2710 Next YR Deferred Dues-Chapters</t>
  </si>
  <si>
    <t xml:space="preserve">                  2711 Def Dues-Chicago Great Lakes</t>
  </si>
  <si>
    <t xml:space="preserve">                  2712 Def Dues-Golden Gate Chapter</t>
  </si>
  <si>
    <t xml:space="preserve">                  2713 Def Dues-Heartland Chapter</t>
  </si>
  <si>
    <t xml:space="preserve">                  2714 Def Dues-Mid/South Atlantic Cha</t>
  </si>
  <si>
    <t xml:space="preserve">                  2715 Def Dues-New England Chapter</t>
  </si>
  <si>
    <t xml:space="preserve">                  2716 Def Dues-New Mexico Chapter</t>
  </si>
  <si>
    <t xml:space="preserve">                  2717 Def Dues-New York City Chapter</t>
  </si>
  <si>
    <t xml:space="preserve">                  2718 Def Dues-No Chapter Preference</t>
  </si>
  <si>
    <t xml:space="preserve">                  2719 Def Dues-Pacific Northwest Chap</t>
  </si>
  <si>
    <t xml:space="preserve">                  2720 Def Dues-Rocky Mountain Chapter</t>
  </si>
  <si>
    <t xml:space="preserve">                  2721 Def Dues-South Central Chapter</t>
  </si>
  <si>
    <t xml:space="preserve">                  2722 Def Dues-SouthEast Chapter</t>
  </si>
  <si>
    <t xml:space="preserve">                  2723 Def Dues-Southern California Ch</t>
  </si>
  <si>
    <t xml:space="preserve">                  2724 Def Dues-Upper Midwest Chapter</t>
  </si>
  <si>
    <t xml:space="preserve">                  2725 Def Dues-West  New York Chapter</t>
  </si>
  <si>
    <t xml:space="preserve">               Total 2710 Next YR Deferred Dues-Chapters</t>
  </si>
  <si>
    <t xml:space="preserve">               2730 2 YR Deferred Mem. Dues-Chapter</t>
  </si>
  <si>
    <t xml:space="preserve">                  2731 DefDues-Chicago Gr Lakes 2nd YR</t>
  </si>
  <si>
    <t xml:space="preserve">                  2732 DefDues-GoldenGt Chapter 2nd Yr</t>
  </si>
  <si>
    <t xml:space="preserve">                  2733 DefDues-Heartlnd Chapter 2nd YR</t>
  </si>
  <si>
    <t xml:space="preserve">                  2734 Def Dues-Mid/South Atl 2nd Yr</t>
  </si>
  <si>
    <t xml:space="preserve">                  2735 Def Dues-New England 2nd Yr</t>
  </si>
  <si>
    <t xml:space="preserve">                  2736 Def Dues-New Mexico 2nd YR</t>
  </si>
  <si>
    <t xml:space="preserve">                  2737 Def Dues-NYC Chapter 2nd YR</t>
  </si>
  <si>
    <t xml:space="preserve">                  2738 DeferDues-No Chapter 2nd YR</t>
  </si>
  <si>
    <t xml:space="preserve">                  2739 DefDues-Pacific NorWest  2nd YR</t>
  </si>
  <si>
    <t xml:space="preserve">                  2740 DefDues-RockyMTN Chapter 2nd YR</t>
  </si>
  <si>
    <t xml:space="preserve">                  2741 DefDues-SCentral Chapter 2nd YR</t>
  </si>
  <si>
    <t xml:space="preserve">                  2742 DefDues-SEast Chapter 2nd YR</t>
  </si>
  <si>
    <t xml:space="preserve">                  2743 Def Dues-S.California Ch 2nd YR</t>
  </si>
  <si>
    <t xml:space="preserve">                  2744 Def Dues-UpperMidwest 2nd YR</t>
  </si>
  <si>
    <t xml:space="preserve">                  2745 Def Dues-West NY Chapter 2nd YR</t>
  </si>
  <si>
    <t xml:space="preserve">               Total 2730 2 YR Deferred Mem. Dues-Chapter</t>
  </si>
  <si>
    <t xml:space="preserve">               2750 3 YR Deferred Dues-Chapters</t>
  </si>
  <si>
    <t xml:space="preserve">                  2751 DefDues-Chicago Gr Lakes 3rd YR</t>
  </si>
  <si>
    <t xml:space="preserve">                  2752 DefDues-GoldenGt Chapter 3rd Yr</t>
  </si>
  <si>
    <t xml:space="preserve">                  2753 DefDues-Heartlnd Chapter 3rd YR</t>
  </si>
  <si>
    <t xml:space="preserve">                  2754 Def Dues-Mid/South Atl 3rd Yr</t>
  </si>
  <si>
    <t xml:space="preserve">                  2755 Def Dues-New England 3rd Yr</t>
  </si>
  <si>
    <t xml:space="preserve">                  2757 Def Dues-NYC Chapter 3rd YR</t>
  </si>
  <si>
    <t xml:space="preserve">                  2758 DeferDues-No Chapter 3rd YR</t>
  </si>
  <si>
    <t xml:space="preserve">                  2759 DefDues-Pacific NorWest  3rd YR</t>
  </si>
  <si>
    <t xml:space="preserve">                  2763 Def Dues-S.California Ch 3rd YR</t>
  </si>
  <si>
    <t xml:space="preserve">                  2764 Def Dues-UpperMidwest 3rd YR</t>
  </si>
  <si>
    <t xml:space="preserve">                  2765 Def Dues-West NY Chapter 3rd YR</t>
  </si>
  <si>
    <t xml:space="preserve">               Total 2750 3 YR Deferred Dues-Chapters</t>
  </si>
  <si>
    <t xml:space="preserve">            Total 2700 Def Dues Chapters</t>
  </si>
  <si>
    <t xml:space="preserve">            2800 Deferred Revenue-SIGs</t>
  </si>
  <si>
    <t xml:space="preserve">               2810 Def Dues SIGs</t>
  </si>
  <si>
    <t xml:space="preserve">                  2811 Def Revenue-Business SIG-1 YR</t>
  </si>
  <si>
    <t xml:space="preserve">                  2812 Def Revenue-Culinary SIG-1 YR</t>
  </si>
  <si>
    <t xml:space="preserve">                  2813 Def Rev-Gardening/Env SIG-1 YR</t>
  </si>
  <si>
    <t xml:space="preserve">                  2814 Def Rev-History/Arch SIG-1 YR</t>
  </si>
  <si>
    <t xml:space="preserve">                  2815 Def Rev-Legal Indexing SIG</t>
  </si>
  <si>
    <t xml:space="preserve">                  2816 Def Rev-Period/Database SIG-1 Y</t>
  </si>
  <si>
    <t xml:space="preserve">                  2818 Def Rev-Sci/Medicine SIG-1 YR</t>
  </si>
  <si>
    <t xml:space="preserve">                  2819 Def Rev-Sports Fitness SIG-1 YR</t>
  </si>
  <si>
    <t xml:space="preserve">                  2820 Def Rev-Taxonomies SIG- 1 YR</t>
  </si>
  <si>
    <t xml:space="preserve">                  2821 Deferred Rev-Digital Indexing</t>
  </si>
  <si>
    <t xml:space="preserve">                  2822 Def SIG Revenue-ASI</t>
  </si>
  <si>
    <t xml:space="preserve">               Total 2810 Def Dues SIGs</t>
  </si>
  <si>
    <t xml:space="preserve">               2830 2nd YR Def Dues SIGs</t>
  </si>
  <si>
    <t xml:space="preserve">                  2831 Def Revenue-Business SIG-2 YR</t>
  </si>
  <si>
    <t xml:space="preserve">                  2832 Def Revenue-Culinary SIG-2 YR</t>
  </si>
  <si>
    <t xml:space="preserve">                  2833 Def Rev-Gardening/Env SIG-2 YR</t>
  </si>
  <si>
    <t xml:space="preserve">                  2834 Def Rev-History/Arch SIG-2 YR</t>
  </si>
  <si>
    <t xml:space="preserve">                  2836 Def Rev-Period/Database SIG-2 Y</t>
  </si>
  <si>
    <t xml:space="preserve">                  2838 Def Rev-Sci/Medicine SIG-2 YR</t>
  </si>
  <si>
    <t xml:space="preserve">                  2839 Def Rev-Sports Fitness SIG-2 YR</t>
  </si>
  <si>
    <t xml:space="preserve">                  2840 Def Rev-Taxonomies SIG- 2 YR</t>
  </si>
  <si>
    <t xml:space="preserve">               Total 2830 2nd YR Def Dues SIGs</t>
  </si>
  <si>
    <t xml:space="preserve">               2850 3rd YR Def Dues SIGs</t>
  </si>
  <si>
    <t xml:space="preserve">                  2854 Def Rev-History/Arch SIG-3 YR</t>
  </si>
  <si>
    <t xml:space="preserve">                  2858 Def Rev-Sci/Medicine SIG-3 YR</t>
  </si>
  <si>
    <t xml:space="preserve">                  2859 Def Rev-Sports Fitness SIG-3 YR</t>
  </si>
  <si>
    <t xml:space="preserve">                  2860 Def Rev-Taxonomies SIG- 3 YR</t>
  </si>
  <si>
    <t xml:space="preserve">               Total 2850 3rd YR Def Dues SIGs</t>
  </si>
  <si>
    <t xml:space="preserve">            Total 2800 Deferred Revenue-SIGs</t>
  </si>
  <si>
    <t xml:space="preserve">            2900 Pending Refunds</t>
  </si>
  <si>
    <t xml:space="preserve">            Accrued Expense</t>
  </si>
  <si>
    <t xml:space="preserve">            Income Tax Liability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</si>
  <si>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</si>
  <si>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</si>
  <si>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</si>
  <si>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</si>
  <si>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30000 Unrestricted Net Assets</t>
  </si>
  <si>
    <t xml:space="preserve">      3200 Restricted Fund Balance</t>
  </si>
  <si>
    <t xml:space="preserve">      3201 Special Interest Groups</t>
  </si>
  <si>
    <t xml:space="preserve">         3202 Business Indexing</t>
  </si>
  <si>
    <t xml:space="preserve">         3203 Culinary Indexing</t>
  </si>
  <si>
    <t xml:space="preserve">         3204 Garden/Environmental Studies</t>
  </si>
  <si>
    <t xml:space="preserve">         3205 History/Archeology</t>
  </si>
  <si>
    <t xml:space="preserve">         3206 Legal Indexing</t>
  </si>
  <si>
    <t xml:space="preserve">         3207 Science/Medicine SIG</t>
  </si>
  <si>
    <t xml:space="preserve">         3208 Sports Fitness</t>
  </si>
  <si>
    <t xml:space="preserve">         3209 Taxonomies &amp; Controlled Vocabul</t>
  </si>
  <si>
    <t xml:space="preserve">         3210 Digital Indexing</t>
  </si>
  <si>
    <t xml:space="preserve">         3211 Periodical &amp; Database</t>
  </si>
  <si>
    <t xml:space="preserve">      Total 3201 Special Interest Groups</t>
  </si>
  <si>
    <t xml:space="preserve">      3220 Chapters</t>
  </si>
  <si>
    <t xml:space="preserve">         3221 New England</t>
  </si>
  <si>
    <t xml:space="preserve">         3222 Golden Gate</t>
  </si>
  <si>
    <t xml:space="preserve">         3223 South Central</t>
  </si>
  <si>
    <t xml:space="preserve">         3224 Mid/South Atlantic</t>
  </si>
  <si>
    <t xml:space="preserve">         3225 Upper Midwest</t>
  </si>
  <si>
    <t xml:space="preserve">         3226 South East</t>
  </si>
  <si>
    <t xml:space="preserve">         3227 Southern California Chapter</t>
  </si>
  <si>
    <t xml:space="preserve">         3228 New York City</t>
  </si>
  <si>
    <t xml:space="preserve">         3229 Western New York</t>
  </si>
  <si>
    <t xml:space="preserve">         3230 Chicago Great Lakes</t>
  </si>
  <si>
    <t xml:space="preserve">         3231 Heartland</t>
  </si>
  <si>
    <t xml:space="preserve">         3233 Pacific North West</t>
  </si>
  <si>
    <t xml:space="preserve">            3233a Special Event Income</t>
  </si>
  <si>
    <t xml:space="preserve">         Total 3233 Pacific North West</t>
  </si>
  <si>
    <t xml:space="preserve">         3234 Rocky Mountain</t>
  </si>
  <si>
    <t xml:space="preserve">      Total 3220 Chapters</t>
  </si>
  <si>
    <t xml:space="preserve">      Net Income</t>
  </si>
  <si>
    <t xml:space="preserve">   Total Equity</t>
  </si>
  <si>
    <t>Monday, Jul 14, 2025 12:52:54 PM GMT-7 - Accrual Basis</t>
  </si>
  <si>
    <t>Jun 2025</t>
  </si>
  <si>
    <t>Jan-Jun 2025</t>
  </si>
  <si>
    <t>June 2025</t>
  </si>
  <si>
    <t>Jan - Jun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</si>
</sst>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  <numFmt numFmtId="169" formatCode="&quot;$&quot;* #,##0.00\ _€"/>
  </numFmts>
  <fonts count="2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0" fillId="0" borderId="0"/>
  </cellStyleXfs>
  <cellXfs count="82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21" fillId="0" borderId="18" xfId="0" applyFont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167" fontId="23" fillId="0" borderId="0" xfId="0" applyNumberFormat="1" applyFont="1" applyAlignment="1">
      <alignment wrapText="1"/>
    </xf>
    <xf numFmtId="167" fontId="23" fillId="0" borderId="0" xfId="0" applyNumberFormat="1" applyFont="1" applyAlignment="1">
      <alignment horizontal="right" wrapText="1"/>
    </xf>
    <xf numFmtId="169" fontId="22" fillId="0" borderId="19" xfId="0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23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12" activePane="bottomRight" state="frozen"/>
      <selection pane="topRight" activeCell="H1" sqref="H1"/>
      <selection pane="bottomLeft" activeCell="A6" sqref="A6"/>
      <selection pane="bottomRight" activeCell="A13" sqref="A13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1" t="s">
        <v>0</v>
      </c>
      <c r="B1" s="72"/>
      <c r="C1" s="73"/>
      <c r="D1" s="58"/>
      <c r="E1" s="58"/>
    </row>
    <row r="2" spans="1:5" ht="18" customHeight="1" thickBot="1" x14ac:dyDescent="0.3">
      <c r="A2" s="71" t="s">
        <v>1</v>
      </c>
      <c r="B2" s="72"/>
      <c r="C2" s="73"/>
      <c r="D2" s="58"/>
      <c r="E2" s="58"/>
    </row>
    <row r="3" spans="1:5" ht="15.75" thickBot="1" x14ac:dyDescent="0.3">
      <c r="A3" s="74" t="s">
        <v>439</v>
      </c>
      <c r="B3" s="75"/>
      <c r="C3" s="76"/>
    </row>
    <row r="4" spans="1:5" ht="15.75" thickBot="1" x14ac:dyDescent="0.3">
      <c r="A4" s="63"/>
      <c r="B4" s="63"/>
      <c r="C4" s="63"/>
    </row>
    <row r="5" spans="1:5" s="22" customFormat="1" x14ac:dyDescent="0.25">
      <c r="A5" s="64"/>
      <c r="B5" s="77" t="s">
        <v>2</v>
      </c>
      <c r="C5" s="78"/>
    </row>
    <row r="6" spans="1:5" x14ac:dyDescent="0.25">
      <c r="A6" s="65"/>
      <c r="B6" s="66" t="s">
        <v>440</v>
      </c>
      <c r="C6" s="66" t="s">
        <v>441</v>
      </c>
    </row>
    <row r="7" spans="1:5" x14ac:dyDescent="0.25">
      <c r="A7" s="67" t="s">
        <v>3</v>
      </c>
      <c r="B7" s="68"/>
      <c r="C7" s="68"/>
    </row>
    <row r="8" spans="1:5" x14ac:dyDescent="0.25">
      <c r="A8" s="67" t="s">
        <v>442</v>
      </c>
      <c r="B8" s="68"/>
      <c r="C8" s="68"/>
    </row>
    <row r="9" spans="1:5" x14ac:dyDescent="0.25">
      <c r="A9" s="67" t="s">
        <v>443</v>
      </c>
      <c r="B9" s="68"/>
      <c r="C9" s="68"/>
    </row>
    <row r="10" spans="1:5" x14ac:dyDescent="0.25">
      <c r="A10" s="67" t="s">
        <v>444</v>
      </c>
      <c r="B10" s="69">
        <f>192564.73</f>
        <v>192564.73</v>
      </c>
      <c r="C10" s="69">
        <f>211345.19</f>
        <v>211345.19</v>
      </c>
    </row>
    <row r="11" spans="1:5" x14ac:dyDescent="0.25">
      <c r="A11" s="67" t="s">
        <v>445</v>
      </c>
      <c r="B11" s="69">
        <f>10331.96</f>
        <v>10331.959999999999</v>
      </c>
      <c r="C11" s="69">
        <f>17139.94</f>
        <v>17139.939999999999</v>
      </c>
    </row>
    <row r="12" spans="1:5" ht="28.9" customHeight="1" x14ac:dyDescent="0.25">
      <c r="A12" s="67" t="s">
        <v>446</v>
      </c>
      <c r="B12" s="70">
        <f>(B10)+(B11)</f>
        <v>202896.69</v>
      </c>
      <c r="C12" s="70">
        <f>(C10)+(C11)</f>
        <v>228485.13</v>
      </c>
    </row>
    <row r="13" spans="1:5" x14ac:dyDescent="0.25">
      <c r="A13" s="67" t="s">
        <v>447</v>
      </c>
      <c r="B13" s="68"/>
      <c r="C13" s="68"/>
    </row>
    <row r="14" spans="1:5" x14ac:dyDescent="0.25">
      <c r="A14" s="67" t="s">
        <v>448</v>
      </c>
      <c r="B14" s="69">
        <f>0</f>
        <v>0</v>
      </c>
      <c r="C14" s="69">
        <f>0</f>
        <v>0</v>
      </c>
    </row>
    <row r="15" spans="1:5" x14ac:dyDescent="0.25">
      <c r="A15" s="67" t="s">
        <v>449</v>
      </c>
      <c r="B15" s="70">
        <f>B14</f>
        <v>0</v>
      </c>
      <c r="C15" s="70">
        <f>C14</f>
        <v>0</v>
      </c>
    </row>
    <row r="16" spans="1:5" x14ac:dyDescent="0.25">
      <c r="A16" s="67" t="s">
        <v>450</v>
      </c>
      <c r="B16" s="68"/>
      <c r="C16" s="68"/>
    </row>
    <row r="17" spans="1:3" x14ac:dyDescent="0.25">
      <c r="A17" s="67" t="s">
        <v>451</v>
      </c>
      <c r="B17" s="69">
        <f>0</f>
        <v>0</v>
      </c>
      <c r="C17" s="69">
        <f>0</f>
        <v>0</v>
      </c>
    </row>
    <row r="18" spans="1:3" ht="28.9" customHeight="1" x14ac:dyDescent="0.25">
      <c r="A18" s="67" t="s">
        <v>452</v>
      </c>
      <c r="B18" s="69">
        <f>0</f>
        <v>0</v>
      </c>
      <c r="C18" s="69">
        <f>0</f>
        <v>0</v>
      </c>
    </row>
    <row r="19" spans="1:3" ht="28.9" customHeight="1" x14ac:dyDescent="0.25">
      <c r="A19" s="67" t="s">
        <v>453</v>
      </c>
      <c r="B19" s="69">
        <f>-100</f>
        <v>-100</v>
      </c>
      <c r="C19" s="69">
        <f>0</f>
        <v>0</v>
      </c>
    </row>
    <row r="20" spans="1:3" ht="28.9" customHeight="1" x14ac:dyDescent="0.25">
      <c r="A20" s="67" t="s">
        <v>454</v>
      </c>
      <c r="B20" s="69">
        <f>1421.68</f>
        <v>1421.68</v>
      </c>
      <c r="C20" s="69">
        <f>1395</f>
        <v>1395</v>
      </c>
    </row>
    <row r="21" spans="1:3" x14ac:dyDescent="0.25">
      <c r="A21" s="67" t="s">
        <v>455</v>
      </c>
      <c r="B21" s="69">
        <f>-164.17</f>
        <v>-164.17</v>
      </c>
      <c r="C21" s="69">
        <f>1805.97</f>
        <v>1805.97</v>
      </c>
    </row>
    <row r="22" spans="1:3" x14ac:dyDescent="0.25">
      <c r="A22" s="67" t="s">
        <v>456</v>
      </c>
      <c r="B22" s="69">
        <f>0</f>
        <v>0</v>
      </c>
      <c r="C22" s="69">
        <f>0</f>
        <v>0</v>
      </c>
    </row>
    <row r="23" spans="1:3" x14ac:dyDescent="0.25">
      <c r="A23" s="67" t="s">
        <v>457</v>
      </c>
      <c r="B23" s="69">
        <f>0</f>
        <v>0</v>
      </c>
      <c r="C23" s="69">
        <f>0</f>
        <v>0</v>
      </c>
    </row>
    <row r="24" spans="1:3" s="17" customFormat="1" ht="28.9" customHeight="1" x14ac:dyDescent="0.2">
      <c r="A24" s="67" t="s">
        <v>458</v>
      </c>
      <c r="B24" s="69">
        <f>0</f>
        <v>0</v>
      </c>
      <c r="C24" s="69">
        <f>0</f>
        <v>0</v>
      </c>
    </row>
    <row r="25" spans="1:3" ht="30" customHeight="1" x14ac:dyDescent="0.25">
      <c r="A25" s="67" t="s">
        <v>459</v>
      </c>
      <c r="B25" s="69">
        <f>0</f>
        <v>0</v>
      </c>
      <c r="C25" s="69">
        <f>0</f>
        <v>0</v>
      </c>
    </row>
    <row r="26" spans="1:3" x14ac:dyDescent="0.25">
      <c r="A26" s="67" t="s">
        <v>460</v>
      </c>
      <c r="B26" s="70">
        <f>(((((((B18)+(B19))+(B20))+(B21))+(B22))+(B23))+(B24))+(B25)</f>
        <v>1157.51</v>
      </c>
      <c r="C26" s="70">
        <f>(((((((C18)+(C19))+(C20))+(C21))+(C22))+(C23))+(C24))+(C25)</f>
        <v>3200.9700000000003</v>
      </c>
    </row>
    <row r="27" spans="1:3" x14ac:dyDescent="0.25">
      <c r="A27" s="67" t="s">
        <v>461</v>
      </c>
      <c r="B27" s="69">
        <f>0</f>
        <v>0</v>
      </c>
      <c r="C27" s="69">
        <f>0</f>
        <v>0</v>
      </c>
    </row>
    <row r="28" spans="1:3" x14ac:dyDescent="0.25">
      <c r="A28" s="67" t="s">
        <v>462</v>
      </c>
      <c r="B28" s="69">
        <f>0</f>
        <v>0</v>
      </c>
      <c r="C28" s="69">
        <f>0</f>
        <v>0</v>
      </c>
    </row>
    <row r="29" spans="1:3" x14ac:dyDescent="0.25">
      <c r="A29" s="67" t="s">
        <v>463</v>
      </c>
      <c r="B29" s="70">
        <f>(((B17)+(B26))+(B27))+(B28)</f>
        <v>1157.51</v>
      </c>
      <c r="C29" s="70">
        <f>(((C17)+(C26))+(C27))+(C28)</f>
        <v>3200.9700000000003</v>
      </c>
    </row>
    <row r="30" spans="1:3" x14ac:dyDescent="0.25">
      <c r="A30" s="67" t="s">
        <v>464</v>
      </c>
      <c r="B30" s="70">
        <f>((B12)+(B15))+(B29)</f>
        <v>204054.2</v>
      </c>
      <c r="C30" s="70">
        <f>((C12)+(C15))+(C29)</f>
        <v>231686.1</v>
      </c>
    </row>
    <row r="31" spans="1:3" x14ac:dyDescent="0.25">
      <c r="A31" s="67" t="s">
        <v>465</v>
      </c>
      <c r="B31" s="68"/>
      <c r="C31" s="68"/>
    </row>
    <row r="32" spans="1:3" x14ac:dyDescent="0.25">
      <c r="A32" s="67" t="s">
        <v>466</v>
      </c>
      <c r="B32" s="69">
        <f>1257.28</f>
        <v>1257.28</v>
      </c>
      <c r="C32" s="69">
        <f>1257.28</f>
        <v>1257.28</v>
      </c>
    </row>
    <row r="33" spans="1:3" x14ac:dyDescent="0.25">
      <c r="A33" s="67" t="s">
        <v>467</v>
      </c>
      <c r="B33" s="69">
        <f>-1257.28</f>
        <v>-1257.28</v>
      </c>
      <c r="C33" s="69">
        <f>-1257.28</f>
        <v>-1257.28</v>
      </c>
    </row>
    <row r="34" spans="1:3" x14ac:dyDescent="0.25">
      <c r="A34" s="67" t="s">
        <v>468</v>
      </c>
      <c r="B34" s="70">
        <f>(B32)+(B33)</f>
        <v>0</v>
      </c>
      <c r="C34" s="70">
        <f>(C32)+(C33)</f>
        <v>0</v>
      </c>
    </row>
    <row r="35" spans="1:3" x14ac:dyDescent="0.25">
      <c r="A35" s="67" t="s">
        <v>4</v>
      </c>
      <c r="B35" s="70">
        <f>(B30)+(B34)</f>
        <v>204054.2</v>
      </c>
      <c r="C35" s="70">
        <f>(C30)+(C34)</f>
        <v>231686.1</v>
      </c>
    </row>
    <row r="36" spans="1:3" x14ac:dyDescent="0.25">
      <c r="A36" s="67" t="s">
        <v>5</v>
      </c>
      <c r="B36" s="68"/>
      <c r="C36" s="68"/>
    </row>
    <row r="37" spans="1:3" x14ac:dyDescent="0.25">
      <c r="A37" s="67" t="s">
        <v>469</v>
      </c>
      <c r="B37" s="68"/>
      <c r="C37" s="68"/>
    </row>
    <row r="38" spans="1:3" ht="28.9" customHeight="1" x14ac:dyDescent="0.25">
      <c r="A38" s="67" t="s">
        <v>470</v>
      </c>
      <c r="B38" s="68"/>
      <c r="C38" s="68"/>
    </row>
    <row r="39" spans="1:3" ht="28.9" customHeight="1" x14ac:dyDescent="0.25">
      <c r="A39" s="67" t="s">
        <v>471</v>
      </c>
      <c r="B39" s="68"/>
      <c r="C39" s="68"/>
    </row>
    <row r="40" spans="1:3" x14ac:dyDescent="0.25">
      <c r="A40" s="67" t="s">
        <v>472</v>
      </c>
      <c r="B40" s="69">
        <f>0</f>
        <v>0</v>
      </c>
      <c r="C40" s="69">
        <f>0</f>
        <v>0</v>
      </c>
    </row>
    <row r="41" spans="1:3" x14ac:dyDescent="0.25">
      <c r="A41" s="67" t="s">
        <v>473</v>
      </c>
      <c r="B41" s="70">
        <f>B40</f>
        <v>0</v>
      </c>
      <c r="C41" s="70">
        <f>C40</f>
        <v>0</v>
      </c>
    </row>
    <row r="42" spans="1:3" x14ac:dyDescent="0.25">
      <c r="A42" s="67" t="s">
        <v>474</v>
      </c>
      <c r="B42" s="68"/>
      <c r="C42" s="68"/>
    </row>
    <row r="43" spans="1:3" x14ac:dyDescent="0.25">
      <c r="A43" s="67" t="s">
        <v>475</v>
      </c>
      <c r="B43" s="68"/>
      <c r="C43" s="68"/>
    </row>
    <row r="44" spans="1:3" x14ac:dyDescent="0.25">
      <c r="A44" s="67" t="s">
        <v>476</v>
      </c>
      <c r="B44" s="69">
        <f>0</f>
        <v>0</v>
      </c>
      <c r="C44" s="69">
        <f>0</f>
        <v>0</v>
      </c>
    </row>
    <row r="45" spans="1:3" x14ac:dyDescent="0.25">
      <c r="A45" s="67" t="s">
        <v>477</v>
      </c>
      <c r="B45" s="69">
        <f>19880.53</f>
        <v>19880.53</v>
      </c>
      <c r="C45" s="69">
        <f>20374.71</f>
        <v>20374.71</v>
      </c>
    </row>
    <row r="46" spans="1:3" x14ac:dyDescent="0.25">
      <c r="A46" s="67" t="s">
        <v>478</v>
      </c>
      <c r="B46" s="69">
        <f>12903.7</f>
        <v>12903.7</v>
      </c>
      <c r="C46" s="69">
        <f>12007.82</f>
        <v>12007.82</v>
      </c>
    </row>
    <row r="47" spans="1:3" x14ac:dyDescent="0.25">
      <c r="A47" s="67" t="s">
        <v>479</v>
      </c>
      <c r="B47" s="69">
        <f>354</f>
        <v>354</v>
      </c>
      <c r="C47" s="69">
        <f>344.17</f>
        <v>344.17</v>
      </c>
    </row>
    <row r="48" spans="1:3" x14ac:dyDescent="0.25">
      <c r="A48" s="67" t="s">
        <v>480</v>
      </c>
      <c r="B48" s="69">
        <f>679.51</f>
        <v>679.51</v>
      </c>
      <c r="C48" s="69">
        <f>518</f>
        <v>518</v>
      </c>
    </row>
    <row r="49" spans="1:3" x14ac:dyDescent="0.25">
      <c r="A49" s="67" t="s">
        <v>481</v>
      </c>
      <c r="B49" s="69">
        <f>0</f>
        <v>0</v>
      </c>
      <c r="C49" s="69">
        <f>0</f>
        <v>0</v>
      </c>
    </row>
    <row r="50" spans="1:3" x14ac:dyDescent="0.25">
      <c r="A50" s="67" t="s">
        <v>482</v>
      </c>
      <c r="B50" s="69">
        <f>4750</f>
        <v>4750</v>
      </c>
      <c r="C50" s="69">
        <f>4525</f>
        <v>4525</v>
      </c>
    </row>
    <row r="51" spans="1:3" x14ac:dyDescent="0.25">
      <c r="A51" s="67" t="s">
        <v>483</v>
      </c>
      <c r="B51" s="69">
        <f>56</f>
        <v>56</v>
      </c>
      <c r="C51" s="69">
        <f>42</f>
        <v>42</v>
      </c>
    </row>
    <row r="52" spans="1:3" x14ac:dyDescent="0.25">
      <c r="A52" s="67" t="s">
        <v>484</v>
      </c>
      <c r="B52" s="69">
        <f>0</f>
        <v>0</v>
      </c>
      <c r="C52" s="69">
        <f>0</f>
        <v>0</v>
      </c>
    </row>
    <row r="53" spans="1:3" x14ac:dyDescent="0.25">
      <c r="A53" s="67" t="s">
        <v>485</v>
      </c>
      <c r="B53" s="70">
        <f>((((((((B44)+(B45))+(B46))+(B47))+(B48))+(B49))+(B50))+(B51))+(B52)</f>
        <v>38623.74</v>
      </c>
      <c r="C53" s="70">
        <f>((((((((C44)+(C45))+(C46))+(C47))+(C48))+(C49))+(C50))+(C51))+(C52)</f>
        <v>37811.699999999997</v>
      </c>
    </row>
    <row r="54" spans="1:3" x14ac:dyDescent="0.25">
      <c r="A54" s="67" t="s">
        <v>486</v>
      </c>
      <c r="B54" s="69">
        <f>0</f>
        <v>0</v>
      </c>
      <c r="C54" s="69">
        <f>0</f>
        <v>0</v>
      </c>
    </row>
    <row r="55" spans="1:3" ht="28.9" customHeight="1" x14ac:dyDescent="0.25">
      <c r="A55" s="67" t="s">
        <v>487</v>
      </c>
      <c r="B55" s="69">
        <f>0</f>
        <v>0</v>
      </c>
      <c r="C55" s="69">
        <f>0</f>
        <v>0</v>
      </c>
    </row>
    <row r="56" spans="1:3" ht="28.9" customHeight="1" x14ac:dyDescent="0.25">
      <c r="A56" s="67" t="s">
        <v>488</v>
      </c>
      <c r="B56" s="69">
        <f>0</f>
        <v>0</v>
      </c>
      <c r="C56" s="69">
        <f>0</f>
        <v>0</v>
      </c>
    </row>
    <row r="57" spans="1:3" x14ac:dyDescent="0.25">
      <c r="A57" s="67" t="s">
        <v>489</v>
      </c>
      <c r="B57" s="69">
        <f>0</f>
        <v>0</v>
      </c>
      <c r="C57" s="69">
        <f>0</f>
        <v>0</v>
      </c>
    </row>
    <row r="58" spans="1:3" x14ac:dyDescent="0.25">
      <c r="A58" s="67" t="s">
        <v>490</v>
      </c>
      <c r="B58" s="69">
        <f>0</f>
        <v>0</v>
      </c>
      <c r="C58" s="69">
        <f>0</f>
        <v>0</v>
      </c>
    </row>
    <row r="59" spans="1:3" ht="23.25" x14ac:dyDescent="0.25">
      <c r="A59" s="67" t="s">
        <v>491</v>
      </c>
      <c r="B59" s="70">
        <f>((((B54)+(B55))+(B56))+(B57))+(B58)</f>
        <v>0</v>
      </c>
      <c r="C59" s="70">
        <f>((((C54)+(C55))+(C56))+(C57))+(C58)</f>
        <v>0</v>
      </c>
    </row>
    <row r="60" spans="1:3" x14ac:dyDescent="0.25">
      <c r="A60" s="67" t="s">
        <v>492</v>
      </c>
      <c r="B60" s="69">
        <f>0</f>
        <v>0</v>
      </c>
      <c r="C60" s="69">
        <f>0</f>
        <v>0</v>
      </c>
    </row>
    <row r="61" spans="1:3" x14ac:dyDescent="0.25">
      <c r="A61" s="67" t="s">
        <v>493</v>
      </c>
      <c r="B61" s="69">
        <f>0</f>
        <v>0</v>
      </c>
      <c r="C61" s="69">
        <f>0</f>
        <v>0</v>
      </c>
    </row>
    <row r="62" spans="1:3" x14ac:dyDescent="0.25">
      <c r="A62" s="67" t="s">
        <v>494</v>
      </c>
      <c r="B62" s="69">
        <f>0</f>
        <v>0</v>
      </c>
      <c r="C62" s="69">
        <f>0</f>
        <v>0</v>
      </c>
    </row>
    <row r="63" spans="1:3" ht="23.25" x14ac:dyDescent="0.25">
      <c r="A63" s="67" t="s">
        <v>495</v>
      </c>
      <c r="B63" s="70">
        <f>((B60)+(B61))+(B62)</f>
        <v>0</v>
      </c>
      <c r="C63" s="70">
        <f>((C60)+(C61))+(C62)</f>
        <v>0</v>
      </c>
    </row>
    <row r="64" spans="1:3" x14ac:dyDescent="0.25">
      <c r="A64" s="67" t="s">
        <v>496</v>
      </c>
      <c r="B64" s="69">
        <f>0</f>
        <v>0</v>
      </c>
      <c r="C64" s="69">
        <f>0</f>
        <v>0</v>
      </c>
    </row>
    <row r="65" spans="1:3" x14ac:dyDescent="0.25">
      <c r="A65" s="67" t="s">
        <v>497</v>
      </c>
      <c r="B65" s="70">
        <f>((((B43)+(B53))+(B59))+(B63))+(B64)</f>
        <v>38623.74</v>
      </c>
      <c r="C65" s="70">
        <f>((((C43)+(C53))+(C59))+(C63))+(C64)</f>
        <v>37811.699999999997</v>
      </c>
    </row>
    <row r="66" spans="1:3" x14ac:dyDescent="0.25">
      <c r="A66" s="67" t="s">
        <v>498</v>
      </c>
      <c r="B66" s="69">
        <f>0</f>
        <v>0</v>
      </c>
      <c r="C66" s="69">
        <f>0</f>
        <v>0</v>
      </c>
    </row>
    <row r="67" spans="1:3" x14ac:dyDescent="0.25">
      <c r="A67" s="67" t="s">
        <v>499</v>
      </c>
      <c r="B67" s="69">
        <f>0</f>
        <v>0</v>
      </c>
      <c r="C67" s="69">
        <f>0</f>
        <v>0</v>
      </c>
    </row>
    <row r="68" spans="1:3" x14ac:dyDescent="0.25">
      <c r="A68" s="67" t="s">
        <v>500</v>
      </c>
      <c r="B68" s="69">
        <f>0</f>
        <v>0</v>
      </c>
      <c r="C68" s="69">
        <f>0</f>
        <v>0</v>
      </c>
    </row>
    <row r="69" spans="1:3" x14ac:dyDescent="0.25">
      <c r="A69" s="67" t="s">
        <v>501</v>
      </c>
      <c r="B69" s="69">
        <f>0</f>
        <v>0</v>
      </c>
      <c r="C69" s="69">
        <f>0</f>
        <v>0</v>
      </c>
    </row>
    <row r="70" spans="1:3" ht="28.9" customHeight="1" x14ac:dyDescent="0.25">
      <c r="A70" s="67" t="s">
        <v>502</v>
      </c>
      <c r="B70" s="69">
        <f>0</f>
        <v>0</v>
      </c>
      <c r="C70" s="69">
        <f>0</f>
        <v>0</v>
      </c>
    </row>
    <row r="71" spans="1:3" ht="28.9" customHeight="1" x14ac:dyDescent="0.25">
      <c r="A71" s="67" t="s">
        <v>503</v>
      </c>
      <c r="B71" s="69">
        <f>0</f>
        <v>0</v>
      </c>
      <c r="C71" s="69">
        <f>0</f>
        <v>0</v>
      </c>
    </row>
    <row r="72" spans="1:3" x14ac:dyDescent="0.25">
      <c r="A72" s="67" t="s">
        <v>504</v>
      </c>
      <c r="B72" s="69">
        <f>0</f>
        <v>0</v>
      </c>
      <c r="C72" s="69">
        <f>0</f>
        <v>0</v>
      </c>
    </row>
    <row r="73" spans="1:3" ht="28.9" customHeight="1" x14ac:dyDescent="0.25">
      <c r="A73" s="67" t="s">
        <v>505</v>
      </c>
      <c r="B73" s="69">
        <f>0</f>
        <v>0</v>
      </c>
      <c r="C73" s="69">
        <f>0</f>
        <v>0</v>
      </c>
    </row>
    <row r="74" spans="1:3" ht="28.9" customHeight="1" x14ac:dyDescent="0.25">
      <c r="A74" s="67" t="s">
        <v>506</v>
      </c>
      <c r="B74" s="69">
        <f>0</f>
        <v>0</v>
      </c>
      <c r="C74" s="69">
        <f>0</f>
        <v>0</v>
      </c>
    </row>
    <row r="75" spans="1:3" ht="28.9" customHeight="1" x14ac:dyDescent="0.25">
      <c r="A75" s="67" t="s">
        <v>507</v>
      </c>
      <c r="B75" s="70">
        <f>(((((((B67)+(B68))+(B69))+(B70))+(B71))+(B72))+(B73))+(B74)</f>
        <v>0</v>
      </c>
      <c r="C75" s="70">
        <f>(((((((C67)+(C68))+(C69))+(C70))+(C71))+(C72))+(C73))+(C74)</f>
        <v>0</v>
      </c>
    </row>
    <row r="76" spans="1:3" ht="23.25" x14ac:dyDescent="0.25">
      <c r="A76" s="67" t="s">
        <v>508</v>
      </c>
      <c r="B76" s="70">
        <f>(B66)+(B75)</f>
        <v>0</v>
      </c>
      <c r="C76" s="70">
        <f>(C66)+(C75)</f>
        <v>0</v>
      </c>
    </row>
    <row r="77" spans="1:3" x14ac:dyDescent="0.25">
      <c r="A77" s="67" t="s">
        <v>509</v>
      </c>
      <c r="B77" s="69">
        <f>0</f>
        <v>0</v>
      </c>
      <c r="C77" s="69">
        <f>0</f>
        <v>0</v>
      </c>
    </row>
    <row r="78" spans="1:3" x14ac:dyDescent="0.25">
      <c r="A78" s="67" t="s">
        <v>510</v>
      </c>
      <c r="B78" s="68"/>
      <c r="C78" s="68"/>
    </row>
    <row r="79" spans="1:3" x14ac:dyDescent="0.25">
      <c r="A79" s="67" t="s">
        <v>511</v>
      </c>
      <c r="B79" s="69">
        <f>0</f>
        <v>0</v>
      </c>
      <c r="C79" s="69">
        <f>0</f>
        <v>0</v>
      </c>
    </row>
    <row r="80" spans="1:3" x14ac:dyDescent="0.25">
      <c r="A80" s="67" t="s">
        <v>512</v>
      </c>
      <c r="B80" s="69">
        <f>114</f>
        <v>114</v>
      </c>
      <c r="C80" s="69">
        <f>217</f>
        <v>217</v>
      </c>
    </row>
    <row r="81" spans="1:3" x14ac:dyDescent="0.25">
      <c r="A81" s="67" t="s">
        <v>513</v>
      </c>
      <c r="B81" s="69">
        <f>0</f>
        <v>0</v>
      </c>
      <c r="C81" s="69">
        <f>0</f>
        <v>0</v>
      </c>
    </row>
    <row r="82" spans="1:3" x14ac:dyDescent="0.25">
      <c r="A82" s="67" t="s">
        <v>514</v>
      </c>
      <c r="B82" s="69">
        <f>84</f>
        <v>84</v>
      </c>
      <c r="C82" s="69">
        <f>147</f>
        <v>147</v>
      </c>
    </row>
    <row r="83" spans="1:3" x14ac:dyDescent="0.25">
      <c r="A83" s="67" t="s">
        <v>515</v>
      </c>
      <c r="B83" s="69">
        <f>184</f>
        <v>184</v>
      </c>
      <c r="C83" s="69">
        <f>210</f>
        <v>210</v>
      </c>
    </row>
    <row r="84" spans="1:3" x14ac:dyDescent="0.25">
      <c r="A84" s="67" t="s">
        <v>516</v>
      </c>
      <c r="B84" s="69">
        <f>149</f>
        <v>149</v>
      </c>
      <c r="C84" s="69">
        <f>210</f>
        <v>210</v>
      </c>
    </row>
    <row r="85" spans="1:3" x14ac:dyDescent="0.25">
      <c r="A85" s="67" t="s">
        <v>517</v>
      </c>
      <c r="B85" s="69">
        <f>0</f>
        <v>0</v>
      </c>
      <c r="C85" s="69">
        <f>0</f>
        <v>0</v>
      </c>
    </row>
    <row r="86" spans="1:3" x14ac:dyDescent="0.25">
      <c r="A86" s="67" t="s">
        <v>518</v>
      </c>
      <c r="B86" s="69">
        <f>133</f>
        <v>133</v>
      </c>
      <c r="C86" s="69">
        <f>105</f>
        <v>105</v>
      </c>
    </row>
    <row r="87" spans="1:3" x14ac:dyDescent="0.25">
      <c r="A87" s="67" t="s">
        <v>519</v>
      </c>
      <c r="B87" s="69">
        <f>1589</f>
        <v>1589</v>
      </c>
      <c r="C87" s="69">
        <f>1480.5</f>
        <v>1480.5</v>
      </c>
    </row>
    <row r="88" spans="1:3" x14ac:dyDescent="0.25">
      <c r="A88" s="67" t="s">
        <v>520</v>
      </c>
      <c r="B88" s="69">
        <f>388</f>
        <v>388</v>
      </c>
      <c r="C88" s="69">
        <f>434</f>
        <v>434</v>
      </c>
    </row>
    <row r="89" spans="1:3" x14ac:dyDescent="0.25">
      <c r="A89" s="67" t="s">
        <v>521</v>
      </c>
      <c r="B89" s="69">
        <f>98</f>
        <v>98</v>
      </c>
      <c r="C89" s="69">
        <f>70</f>
        <v>70</v>
      </c>
    </row>
    <row r="90" spans="1:3" ht="28.9" customHeight="1" x14ac:dyDescent="0.25">
      <c r="A90" s="67" t="s">
        <v>522</v>
      </c>
      <c r="B90" s="69">
        <f>0</f>
        <v>0</v>
      </c>
      <c r="C90" s="69">
        <f>0</f>
        <v>0</v>
      </c>
    </row>
    <row r="91" spans="1:3" x14ac:dyDescent="0.25">
      <c r="A91" s="67" t="s">
        <v>523</v>
      </c>
      <c r="B91" s="69">
        <f>77</f>
        <v>77</v>
      </c>
      <c r="C91" s="69">
        <f>77</f>
        <v>77</v>
      </c>
    </row>
    <row r="92" spans="1:3" x14ac:dyDescent="0.25">
      <c r="A92" s="67" t="s">
        <v>524</v>
      </c>
      <c r="B92" s="69">
        <f>0</f>
        <v>0</v>
      </c>
      <c r="C92" s="69">
        <f>0</f>
        <v>0</v>
      </c>
    </row>
    <row r="93" spans="1:3" x14ac:dyDescent="0.25">
      <c r="A93" s="67" t="s">
        <v>525</v>
      </c>
      <c r="B93" s="69">
        <f>43</f>
        <v>43</v>
      </c>
      <c r="C93" s="69">
        <f>63</f>
        <v>63</v>
      </c>
    </row>
    <row r="94" spans="1:3" x14ac:dyDescent="0.25">
      <c r="A94" s="67" t="s">
        <v>526</v>
      </c>
      <c r="B94" s="69">
        <f>0</f>
        <v>0</v>
      </c>
      <c r="C94" s="69">
        <f>0</f>
        <v>0</v>
      </c>
    </row>
    <row r="95" spans="1:3" ht="23.25" x14ac:dyDescent="0.25">
      <c r="A95" s="67" t="s">
        <v>527</v>
      </c>
      <c r="B95" s="70">
        <f>(((((((((((((((B79)+(B80))+(B81))+(B82))+(B83))+(B84))+(B85))+(B86))+(B87))+(B88))+(B89))+(B90))+(B91))+(B92))+(B93))+(B94)</f>
        <v>2859</v>
      </c>
      <c r="C95" s="70">
        <f>(((((((((((((((C79)+(C80))+(C81))+(C82))+(C83))+(C84))+(C85))+(C86))+(C87))+(C88))+(C89))+(C90))+(C91))+(C92))+(C93))+(C94)</f>
        <v>3013.5</v>
      </c>
    </row>
    <row r="96" spans="1:3" x14ac:dyDescent="0.25">
      <c r="A96" s="67" t="s">
        <v>528</v>
      </c>
      <c r="B96" s="68"/>
      <c r="C96" s="68"/>
    </row>
    <row r="97" spans="1:3" x14ac:dyDescent="0.25">
      <c r="A97" s="67" t="s">
        <v>529</v>
      </c>
      <c r="B97" s="69">
        <f>0</f>
        <v>0</v>
      </c>
      <c r="C97" s="69">
        <f>0</f>
        <v>0</v>
      </c>
    </row>
    <row r="98" spans="1:3" x14ac:dyDescent="0.25">
      <c r="A98" s="67" t="s">
        <v>530</v>
      </c>
      <c r="B98" s="69">
        <f>0</f>
        <v>0</v>
      </c>
      <c r="C98" s="69">
        <f>0</f>
        <v>0</v>
      </c>
    </row>
    <row r="99" spans="1:3" x14ac:dyDescent="0.25">
      <c r="A99" s="67" t="s">
        <v>531</v>
      </c>
      <c r="B99" s="69">
        <f>0</f>
        <v>0</v>
      </c>
      <c r="C99" s="69">
        <f>0</f>
        <v>0</v>
      </c>
    </row>
    <row r="100" spans="1:3" x14ac:dyDescent="0.25">
      <c r="A100" s="67" t="s">
        <v>532</v>
      </c>
      <c r="B100" s="69">
        <f>0</f>
        <v>0</v>
      </c>
      <c r="C100" s="69">
        <f>0</f>
        <v>0</v>
      </c>
    </row>
    <row r="101" spans="1:3" x14ac:dyDescent="0.25">
      <c r="A101" s="67" t="s">
        <v>533</v>
      </c>
      <c r="B101" s="69">
        <f>0</f>
        <v>0</v>
      </c>
      <c r="C101" s="69">
        <f>0</f>
        <v>0</v>
      </c>
    </row>
    <row r="102" spans="1:3" x14ac:dyDescent="0.25">
      <c r="A102" s="67" t="s">
        <v>534</v>
      </c>
      <c r="B102" s="69">
        <f>0</f>
        <v>0</v>
      </c>
      <c r="C102" s="69">
        <f>0</f>
        <v>0</v>
      </c>
    </row>
    <row r="103" spans="1:3" ht="28.9" customHeight="1" x14ac:dyDescent="0.25">
      <c r="A103" s="67" t="s">
        <v>535</v>
      </c>
      <c r="B103" s="69">
        <f>0</f>
        <v>0</v>
      </c>
      <c r="C103" s="69">
        <f>0</f>
        <v>0</v>
      </c>
    </row>
    <row r="104" spans="1:3" ht="28.9" customHeight="1" x14ac:dyDescent="0.25">
      <c r="A104" s="67" t="s">
        <v>536</v>
      </c>
      <c r="B104" s="69">
        <f>0</f>
        <v>0</v>
      </c>
      <c r="C104" s="69">
        <f>0</f>
        <v>0</v>
      </c>
    </row>
    <row r="105" spans="1:3" x14ac:dyDescent="0.25">
      <c r="A105" s="67" t="s">
        <v>537</v>
      </c>
      <c r="B105" s="69">
        <f>0</f>
        <v>0</v>
      </c>
      <c r="C105" s="69">
        <f>0</f>
        <v>0</v>
      </c>
    </row>
    <row r="106" spans="1:3" s="17" customFormat="1" ht="28.9" customHeight="1" x14ac:dyDescent="0.2">
      <c r="A106" s="67" t="s">
        <v>538</v>
      </c>
      <c r="B106" s="69">
        <f>0</f>
        <v>0</v>
      </c>
      <c r="C106" s="69">
        <f>0</f>
        <v>0</v>
      </c>
    </row>
    <row r="107" spans="1:3" x14ac:dyDescent="0.25">
      <c r="A107" s="67" t="s">
        <v>539</v>
      </c>
      <c r="B107" s="69">
        <f>0</f>
        <v>0</v>
      </c>
      <c r="C107" s="69">
        <f>0</f>
        <v>0</v>
      </c>
    </row>
    <row r="108" spans="1:3" x14ac:dyDescent="0.25">
      <c r="A108" s="67" t="s">
        <v>540</v>
      </c>
      <c r="B108" s="69">
        <f>0</f>
        <v>0</v>
      </c>
      <c r="C108" s="69">
        <f>0</f>
        <v>0</v>
      </c>
    </row>
    <row r="109" spans="1:3" x14ac:dyDescent="0.25">
      <c r="A109" s="67" t="s">
        <v>541</v>
      </c>
      <c r="B109" s="69">
        <f>0</f>
        <v>0</v>
      </c>
      <c r="C109" s="69">
        <f>0</f>
        <v>0</v>
      </c>
    </row>
    <row r="110" spans="1:3" x14ac:dyDescent="0.25">
      <c r="A110" s="67" t="s">
        <v>542</v>
      </c>
      <c r="B110" s="69">
        <f>0</f>
        <v>0</v>
      </c>
      <c r="C110" s="69">
        <f>0</f>
        <v>0</v>
      </c>
    </row>
    <row r="111" spans="1:3" x14ac:dyDescent="0.25">
      <c r="A111" s="67" t="s">
        <v>543</v>
      </c>
      <c r="B111" s="69">
        <f>0</f>
        <v>0</v>
      </c>
      <c r="C111" s="69">
        <f>0</f>
        <v>0</v>
      </c>
    </row>
    <row r="112" spans="1:3" ht="23.25" x14ac:dyDescent="0.25">
      <c r="A112" s="67" t="s">
        <v>544</v>
      </c>
      <c r="B112" s="70">
        <f>(((((((((((((((B96)+(B97))+(B98))+(B99))+(B100))+(B101))+(B102))+(B103))+(B104))+(B105))+(B106))+(B107))+(B108))+(B109))+(B110))+(B111)</f>
        <v>0</v>
      </c>
      <c r="C112" s="70">
        <f>(((((((((((((((C96)+(C97))+(C98))+(C99))+(C100))+(C101))+(C102))+(C103))+(C104))+(C105))+(C106))+(C107))+(C108))+(C109))+(C110))+(C111)</f>
        <v>0</v>
      </c>
    </row>
    <row r="113" spans="1:3" x14ac:dyDescent="0.25">
      <c r="A113" s="67" t="s">
        <v>545</v>
      </c>
      <c r="B113" s="68"/>
      <c r="C113" s="68"/>
    </row>
    <row r="114" spans="1:3" x14ac:dyDescent="0.25">
      <c r="A114" s="67" t="s">
        <v>546</v>
      </c>
      <c r="B114" s="69">
        <f>0</f>
        <v>0</v>
      </c>
      <c r="C114" s="69">
        <f>0</f>
        <v>0</v>
      </c>
    </row>
    <row r="115" spans="1:3" x14ac:dyDescent="0.25">
      <c r="A115" s="67" t="s">
        <v>547</v>
      </c>
      <c r="B115" s="69">
        <f>0</f>
        <v>0</v>
      </c>
      <c r="C115" s="69">
        <f>0</f>
        <v>0</v>
      </c>
    </row>
    <row r="116" spans="1:3" x14ac:dyDescent="0.25">
      <c r="A116" s="67" t="s">
        <v>548</v>
      </c>
      <c r="B116" s="69">
        <f>0</f>
        <v>0</v>
      </c>
      <c r="C116" s="69">
        <f>0</f>
        <v>0</v>
      </c>
    </row>
    <row r="117" spans="1:3" x14ac:dyDescent="0.25">
      <c r="A117" s="67" t="s">
        <v>549</v>
      </c>
      <c r="B117" s="69">
        <f>0</f>
        <v>0</v>
      </c>
      <c r="C117" s="69">
        <f>0</f>
        <v>0</v>
      </c>
    </row>
    <row r="118" spans="1:3" x14ac:dyDescent="0.25">
      <c r="A118" s="67" t="s">
        <v>550</v>
      </c>
      <c r="B118" s="69">
        <f>0</f>
        <v>0</v>
      </c>
      <c r="C118" s="69">
        <f>0</f>
        <v>0</v>
      </c>
    </row>
    <row r="119" spans="1:3" x14ac:dyDescent="0.25">
      <c r="A119" s="67" t="s">
        <v>551</v>
      </c>
      <c r="B119" s="69">
        <f>0</f>
        <v>0</v>
      </c>
      <c r="C119" s="69">
        <f>0</f>
        <v>0</v>
      </c>
    </row>
    <row r="120" spans="1:3" x14ac:dyDescent="0.25">
      <c r="A120" s="67" t="s">
        <v>552</v>
      </c>
      <c r="B120" s="69">
        <f>0</f>
        <v>0</v>
      </c>
      <c r="C120" s="69">
        <f>0</f>
        <v>0</v>
      </c>
    </row>
    <row r="121" spans="1:3" x14ac:dyDescent="0.25">
      <c r="A121" s="67" t="s">
        <v>553</v>
      </c>
      <c r="B121" s="69">
        <f>0</f>
        <v>0</v>
      </c>
      <c r="C121" s="69">
        <f>0</f>
        <v>0</v>
      </c>
    </row>
    <row r="122" spans="1:3" x14ac:dyDescent="0.25">
      <c r="A122" s="67" t="s">
        <v>554</v>
      </c>
      <c r="B122" s="69">
        <f>0</f>
        <v>0</v>
      </c>
      <c r="C122" s="69">
        <f>0</f>
        <v>0</v>
      </c>
    </row>
    <row r="123" spans="1:3" x14ac:dyDescent="0.25">
      <c r="A123" s="67" t="s">
        <v>555</v>
      </c>
      <c r="B123" s="69">
        <f>0</f>
        <v>0</v>
      </c>
      <c r="C123" s="69">
        <f>0</f>
        <v>0</v>
      </c>
    </row>
    <row r="124" spans="1:3" x14ac:dyDescent="0.25">
      <c r="A124" s="67" t="s">
        <v>556</v>
      </c>
      <c r="B124" s="69">
        <f>0</f>
        <v>0</v>
      </c>
      <c r="C124" s="69">
        <f>0</f>
        <v>0</v>
      </c>
    </row>
    <row r="125" spans="1:3" x14ac:dyDescent="0.25">
      <c r="A125" s="67" t="s">
        <v>557</v>
      </c>
      <c r="B125" s="70">
        <f>(((((((((((B113)+(B114))+(B115))+(B116))+(B117))+(B118))+(B119))+(B120))+(B121))+(B122))+(B123))+(B124)</f>
        <v>0</v>
      </c>
      <c r="C125" s="70">
        <f>(((((((((((C113)+(C114))+(C115))+(C116))+(C117))+(C118))+(C119))+(C120))+(C121))+(C122))+(C123))+(C124)</f>
        <v>0</v>
      </c>
    </row>
    <row r="126" spans="1:3" x14ac:dyDescent="0.25">
      <c r="A126" s="67" t="s">
        <v>558</v>
      </c>
      <c r="B126" s="70">
        <f>(((B78)+(B95))+(B112))+(B125)</f>
        <v>2859</v>
      </c>
      <c r="C126" s="70">
        <f>(((C78)+(C95))+(C112))+(C125)</f>
        <v>3013.5</v>
      </c>
    </row>
    <row r="127" spans="1:3" x14ac:dyDescent="0.25">
      <c r="A127" s="67" t="s">
        <v>559</v>
      </c>
      <c r="B127" s="68"/>
      <c r="C127" s="68"/>
    </row>
    <row r="128" spans="1:3" x14ac:dyDescent="0.25">
      <c r="A128" s="67" t="s">
        <v>560</v>
      </c>
      <c r="B128" s="68"/>
      <c r="C128" s="68"/>
    </row>
    <row r="129" spans="1:3" x14ac:dyDescent="0.25">
      <c r="A129" s="67" t="s">
        <v>561</v>
      </c>
      <c r="B129" s="69">
        <f>0</f>
        <v>0</v>
      </c>
      <c r="C129" s="69">
        <f>0</f>
        <v>0</v>
      </c>
    </row>
    <row r="130" spans="1:3" x14ac:dyDescent="0.25">
      <c r="A130" s="67" t="s">
        <v>562</v>
      </c>
      <c r="B130" s="69">
        <f>150</f>
        <v>150</v>
      </c>
      <c r="C130" s="69">
        <f>168</f>
        <v>168</v>
      </c>
    </row>
    <row r="131" spans="1:3" x14ac:dyDescent="0.25">
      <c r="A131" s="67" t="s">
        <v>563</v>
      </c>
      <c r="B131" s="69">
        <f>60</f>
        <v>60</v>
      </c>
      <c r="C131" s="69">
        <f>66</f>
        <v>66</v>
      </c>
    </row>
    <row r="132" spans="1:3" x14ac:dyDescent="0.25">
      <c r="A132" s="67" t="s">
        <v>564</v>
      </c>
      <c r="B132" s="69">
        <f>294</f>
        <v>294</v>
      </c>
      <c r="C132" s="69">
        <f>384</f>
        <v>384</v>
      </c>
    </row>
    <row r="133" spans="1:3" x14ac:dyDescent="0.25">
      <c r="A133" s="67" t="s">
        <v>565</v>
      </c>
      <c r="B133" s="69">
        <f>126</f>
        <v>126</v>
      </c>
      <c r="C133" s="69">
        <f>162</f>
        <v>162</v>
      </c>
    </row>
    <row r="134" spans="1:3" x14ac:dyDescent="0.25">
      <c r="A134" s="67" t="s">
        <v>566</v>
      </c>
      <c r="B134" s="69">
        <f>60</f>
        <v>60</v>
      </c>
      <c r="C134" s="69">
        <f>102</f>
        <v>102</v>
      </c>
    </row>
    <row r="135" spans="1:3" x14ac:dyDescent="0.25">
      <c r="A135" s="67" t="s">
        <v>567</v>
      </c>
      <c r="B135" s="69">
        <f>0</f>
        <v>0</v>
      </c>
      <c r="C135" s="69">
        <f>0</f>
        <v>0</v>
      </c>
    </row>
    <row r="136" spans="1:3" x14ac:dyDescent="0.25">
      <c r="A136" s="67" t="s">
        <v>568</v>
      </c>
      <c r="B136" s="69">
        <f>19</f>
        <v>19</v>
      </c>
      <c r="C136" s="69">
        <f>30</f>
        <v>30</v>
      </c>
    </row>
    <row r="137" spans="1:3" x14ac:dyDescent="0.25">
      <c r="A137" s="67" t="s">
        <v>569</v>
      </c>
      <c r="B137" s="69">
        <f>132</f>
        <v>132</v>
      </c>
      <c r="C137" s="69">
        <f>144</f>
        <v>144</v>
      </c>
    </row>
    <row r="138" spans="1:3" x14ac:dyDescent="0.25">
      <c r="A138" s="67" t="s">
        <v>570</v>
      </c>
      <c r="B138" s="69">
        <f>318</f>
        <v>318</v>
      </c>
      <c r="C138" s="69">
        <f>396</f>
        <v>396</v>
      </c>
    </row>
    <row r="139" spans="1:3" x14ac:dyDescent="0.25">
      <c r="A139" s="67" t="s">
        <v>571</v>
      </c>
      <c r="B139" s="69">
        <f>1356</f>
        <v>1356</v>
      </c>
      <c r="C139" s="69">
        <f>1296</f>
        <v>1296</v>
      </c>
    </row>
    <row r="140" spans="1:3" x14ac:dyDescent="0.25">
      <c r="A140" s="67" t="s">
        <v>572</v>
      </c>
      <c r="B140" s="70">
        <f>(((((((((((B128)+(B129))+(B130))+(B131))+(B132))+(B133))+(B134))+(B135))+(B136))+(B137))+(B138))+(B139)</f>
        <v>2515</v>
      </c>
      <c r="C140" s="70">
        <f>(((((((((((C128)+(C129))+(C130))+(C131))+(C132))+(C133))+(C134))+(C135))+(C136))+(C137))+(C138))+(C139)</f>
        <v>2748</v>
      </c>
    </row>
    <row r="141" spans="1:3" x14ac:dyDescent="0.25">
      <c r="A141" s="67" t="s">
        <v>573</v>
      </c>
      <c r="B141" s="68"/>
      <c r="C141" s="68"/>
    </row>
    <row r="142" spans="1:3" x14ac:dyDescent="0.25">
      <c r="A142" s="67" t="s">
        <v>574</v>
      </c>
      <c r="B142" s="69">
        <f>0</f>
        <v>0</v>
      </c>
      <c r="C142" s="69">
        <f>0</f>
        <v>0</v>
      </c>
    </row>
    <row r="143" spans="1:3" x14ac:dyDescent="0.25">
      <c r="A143" s="67" t="s">
        <v>575</v>
      </c>
      <c r="B143" s="69">
        <f>0</f>
        <v>0</v>
      </c>
      <c r="C143" s="69">
        <f>0</f>
        <v>0</v>
      </c>
    </row>
    <row r="144" spans="1:3" x14ac:dyDescent="0.25">
      <c r="A144" s="67" t="s">
        <v>576</v>
      </c>
      <c r="B144" s="69">
        <f>0</f>
        <v>0</v>
      </c>
      <c r="C144" s="69">
        <f>0</f>
        <v>0</v>
      </c>
    </row>
    <row r="145" spans="1:3" x14ac:dyDescent="0.25">
      <c r="A145" s="67" t="s">
        <v>577</v>
      </c>
      <c r="B145" s="69">
        <f>0</f>
        <v>0</v>
      </c>
      <c r="C145" s="69">
        <f>0</f>
        <v>0</v>
      </c>
    </row>
    <row r="146" spans="1:3" x14ac:dyDescent="0.25">
      <c r="A146" s="67" t="s">
        <v>578</v>
      </c>
      <c r="B146" s="69">
        <f>0</f>
        <v>0</v>
      </c>
      <c r="C146" s="69">
        <f>0</f>
        <v>0</v>
      </c>
    </row>
    <row r="147" spans="1:3" x14ac:dyDescent="0.25">
      <c r="A147" s="67" t="s">
        <v>579</v>
      </c>
      <c r="B147" s="69">
        <f>0</f>
        <v>0</v>
      </c>
      <c r="C147" s="69">
        <f>0</f>
        <v>0</v>
      </c>
    </row>
    <row r="148" spans="1:3" x14ac:dyDescent="0.25">
      <c r="A148" s="67" t="s">
        <v>580</v>
      </c>
      <c r="B148" s="69">
        <f>0</f>
        <v>0</v>
      </c>
      <c r="C148" s="69">
        <f>0</f>
        <v>0</v>
      </c>
    </row>
    <row r="149" spans="1:3" x14ac:dyDescent="0.25">
      <c r="A149" s="67" t="s">
        <v>581</v>
      </c>
      <c r="B149" s="69">
        <f>0</f>
        <v>0</v>
      </c>
      <c r="C149" s="69">
        <f>0</f>
        <v>0</v>
      </c>
    </row>
    <row r="150" spans="1:3" x14ac:dyDescent="0.25">
      <c r="A150" s="67" t="s">
        <v>582</v>
      </c>
      <c r="B150" s="70">
        <f>((((((((B141)+(B142))+(B143))+(B144))+(B145))+(B146))+(B147))+(B148))+(B149)</f>
        <v>0</v>
      </c>
      <c r="C150" s="70">
        <f>((((((((C141)+(C142))+(C143))+(C144))+(C145))+(C146))+(C147))+(C148))+(C149)</f>
        <v>0</v>
      </c>
    </row>
    <row r="151" spans="1:3" x14ac:dyDescent="0.25">
      <c r="A151" s="67" t="s">
        <v>583</v>
      </c>
      <c r="B151" s="68"/>
      <c r="C151" s="68"/>
    </row>
    <row r="152" spans="1:3" x14ac:dyDescent="0.25">
      <c r="A152" s="67" t="s">
        <v>584</v>
      </c>
      <c r="B152" s="69">
        <f>0</f>
        <v>0</v>
      </c>
      <c r="C152" s="69">
        <f>0</f>
        <v>0</v>
      </c>
    </row>
    <row r="153" spans="1:3" x14ac:dyDescent="0.25">
      <c r="A153" s="67" t="s">
        <v>585</v>
      </c>
      <c r="B153" s="69">
        <f>0</f>
        <v>0</v>
      </c>
      <c r="C153" s="69">
        <f>0</f>
        <v>0</v>
      </c>
    </row>
    <row r="154" spans="1:3" x14ac:dyDescent="0.25">
      <c r="A154" s="67" t="s">
        <v>586</v>
      </c>
      <c r="B154" s="69">
        <f>0</f>
        <v>0</v>
      </c>
      <c r="C154" s="69">
        <f>0</f>
        <v>0</v>
      </c>
    </row>
    <row r="155" spans="1:3" x14ac:dyDescent="0.25">
      <c r="A155" s="67" t="s">
        <v>587</v>
      </c>
      <c r="B155" s="69">
        <f>0</f>
        <v>0</v>
      </c>
      <c r="C155" s="69">
        <f>0</f>
        <v>0</v>
      </c>
    </row>
    <row r="156" spans="1:3" x14ac:dyDescent="0.25">
      <c r="A156" s="67" t="s">
        <v>588</v>
      </c>
      <c r="B156" s="70">
        <f>((((B151)+(B152))+(B153))+(B154))+(B155)</f>
        <v>0</v>
      </c>
      <c r="C156" s="70">
        <f>((((C151)+(C152))+(C153))+(C154))+(C155)</f>
        <v>0</v>
      </c>
    </row>
    <row r="157" spans="1:3" x14ac:dyDescent="0.25">
      <c r="A157" s="67" t="s">
        <v>589</v>
      </c>
      <c r="B157" s="70">
        <f>(((B127)+(B140))+(B150))+(B156)</f>
        <v>2515</v>
      </c>
      <c r="C157" s="70">
        <f>(((C127)+(C140))+(C150))+(C156)</f>
        <v>2748</v>
      </c>
    </row>
    <row r="158" spans="1:3" x14ac:dyDescent="0.25">
      <c r="A158" s="67" t="s">
        <v>590</v>
      </c>
      <c r="B158" s="69">
        <f>14</f>
        <v>14</v>
      </c>
      <c r="C158" s="69">
        <f>14</f>
        <v>14</v>
      </c>
    </row>
    <row r="159" spans="1:3" x14ac:dyDescent="0.25">
      <c r="A159" s="67" t="s">
        <v>591</v>
      </c>
      <c r="B159" s="69">
        <f>0</f>
        <v>0</v>
      </c>
      <c r="C159" s="69">
        <f>0</f>
        <v>0</v>
      </c>
    </row>
    <row r="160" spans="1:3" x14ac:dyDescent="0.25">
      <c r="A160" s="67" t="s">
        <v>592</v>
      </c>
      <c r="B160" s="69">
        <f>0</f>
        <v>0</v>
      </c>
      <c r="C160" s="69">
        <f>0</f>
        <v>0</v>
      </c>
    </row>
    <row r="161" spans="1:3" x14ac:dyDescent="0.25">
      <c r="A161" s="67" t="s">
        <v>593</v>
      </c>
      <c r="B161" s="70">
        <f>(((((((B65)+(B76))+(B77))+(B126))+(B157))+(B158))+(B159))+(B160)</f>
        <v>44011.74</v>
      </c>
      <c r="C161" s="70">
        <f>(((((((C65)+(C76))+(C77))+(C126))+(C157))+(C158))+(C159))+(C160)</f>
        <v>43587.199999999997</v>
      </c>
    </row>
    <row r="162" spans="1:3" x14ac:dyDescent="0.25">
      <c r="A162" s="67" t="s">
        <v>594</v>
      </c>
      <c r="B162" s="70">
        <f>(B41)+(B161)</f>
        <v>44011.74</v>
      </c>
      <c r="C162" s="70">
        <f>(C41)+(C161)</f>
        <v>43587.199999999997</v>
      </c>
    </row>
    <row r="163" spans="1:3" x14ac:dyDescent="0.25">
      <c r="A163" s="67" t="s">
        <v>595</v>
      </c>
      <c r="B163" s="70">
        <f>B162</f>
        <v>44011.74</v>
      </c>
      <c r="C163" s="70">
        <f>C162</f>
        <v>43587.199999999997</v>
      </c>
    </row>
    <row r="164" spans="1:3" x14ac:dyDescent="0.25">
      <c r="A164" s="67" t="s">
        <v>596</v>
      </c>
      <c r="B164" s="68"/>
      <c r="C164" s="68"/>
    </row>
    <row r="165" spans="1:3" x14ac:dyDescent="0.25">
      <c r="A165" s="67" t="s">
        <v>597</v>
      </c>
      <c r="B165" s="69">
        <f>86250.52</f>
        <v>86250.52</v>
      </c>
      <c r="C165" s="69">
        <f>101931.99</f>
        <v>101931.99</v>
      </c>
    </row>
    <row r="166" spans="1:3" x14ac:dyDescent="0.25">
      <c r="A166" s="67" t="s">
        <v>598</v>
      </c>
      <c r="B166" s="69">
        <f>29.85</f>
        <v>29.85</v>
      </c>
      <c r="C166" s="69">
        <f>29.85</f>
        <v>29.85</v>
      </c>
    </row>
    <row r="167" spans="1:3" x14ac:dyDescent="0.25">
      <c r="A167" s="67" t="s">
        <v>599</v>
      </c>
      <c r="B167" s="68"/>
      <c r="C167" s="68"/>
    </row>
    <row r="168" spans="1:3" x14ac:dyDescent="0.25">
      <c r="A168" s="67" t="s">
        <v>600</v>
      </c>
      <c r="B168" s="69">
        <f>0</f>
        <v>0</v>
      </c>
      <c r="C168" s="69">
        <f>46.11</f>
        <v>46.11</v>
      </c>
    </row>
    <row r="169" spans="1:3" x14ac:dyDescent="0.25">
      <c r="A169" s="67" t="s">
        <v>601</v>
      </c>
      <c r="B169" s="69">
        <f>6550.77</f>
        <v>6550.77</v>
      </c>
      <c r="C169" s="69">
        <f>6550.77</f>
        <v>6550.77</v>
      </c>
    </row>
    <row r="170" spans="1:3" x14ac:dyDescent="0.25">
      <c r="A170" s="67" t="s">
        <v>602</v>
      </c>
      <c r="B170" s="69">
        <f>2977.73</f>
        <v>2977.73</v>
      </c>
      <c r="C170" s="69">
        <f>2977.73</f>
        <v>2977.73</v>
      </c>
    </row>
    <row r="171" spans="1:3" x14ac:dyDescent="0.25">
      <c r="A171" s="67" t="s">
        <v>603</v>
      </c>
      <c r="B171" s="69">
        <f>5888.04</f>
        <v>5888.04</v>
      </c>
      <c r="C171" s="69">
        <f>5888.04</f>
        <v>5888.04</v>
      </c>
    </row>
    <row r="172" spans="1:3" x14ac:dyDescent="0.25">
      <c r="A172" s="67" t="s">
        <v>604</v>
      </c>
      <c r="B172" s="69">
        <f>911.9</f>
        <v>911.9</v>
      </c>
      <c r="C172" s="69">
        <f>911.9</f>
        <v>911.9</v>
      </c>
    </row>
    <row r="173" spans="1:3" x14ac:dyDescent="0.25">
      <c r="A173" s="67" t="s">
        <v>605</v>
      </c>
      <c r="B173" s="69">
        <f>0</f>
        <v>0</v>
      </c>
      <c r="C173" s="69">
        <f>4319.89</f>
        <v>4319.8900000000003</v>
      </c>
    </row>
    <row r="174" spans="1:3" x14ac:dyDescent="0.25">
      <c r="A174" s="67" t="s">
        <v>606</v>
      </c>
      <c r="B174" s="69">
        <f>1422.69</f>
        <v>1422.69</v>
      </c>
      <c r="C174" s="69">
        <f>1422.69</f>
        <v>1422.69</v>
      </c>
    </row>
    <row r="175" spans="1:3" x14ac:dyDescent="0.25">
      <c r="A175" s="67" t="s">
        <v>607</v>
      </c>
      <c r="B175" s="69">
        <f>2341.67</f>
        <v>2341.67</v>
      </c>
      <c r="C175" s="69">
        <f>2341.67</f>
        <v>2341.67</v>
      </c>
    </row>
    <row r="176" spans="1:3" x14ac:dyDescent="0.25">
      <c r="A176" s="67" t="s">
        <v>608</v>
      </c>
      <c r="B176" s="69">
        <f>2383.76</f>
        <v>2383.7600000000002</v>
      </c>
      <c r="C176" s="69">
        <f>2383.76</f>
        <v>2383.7600000000002</v>
      </c>
    </row>
    <row r="177" spans="1:3" x14ac:dyDescent="0.25">
      <c r="A177" s="67" t="s">
        <v>609</v>
      </c>
      <c r="B177" s="69">
        <f>1116</f>
        <v>1116</v>
      </c>
      <c r="C177" s="69">
        <f>1116</f>
        <v>1116</v>
      </c>
    </row>
    <row r="178" spans="1:3" x14ac:dyDescent="0.25">
      <c r="A178" s="67" t="s">
        <v>610</v>
      </c>
      <c r="B178" s="70">
        <f>((((((((((B167)+(B168))+(B169))+(B170))+(B171))+(B172))+(B173))+(B174))+(B175))+(B176))+(B177)</f>
        <v>23592.560000000005</v>
      </c>
      <c r="C178" s="70">
        <f>((((((((((C167)+(C168))+(C169))+(C170))+(C171))+(C172))+(C173))+(C174))+(C175))+(C176))+(C177)</f>
        <v>27958.560000000005</v>
      </c>
    </row>
    <row r="179" spans="1:3" x14ac:dyDescent="0.25">
      <c r="A179" s="67" t="s">
        <v>611</v>
      </c>
      <c r="B179" s="68"/>
      <c r="C179" s="68"/>
    </row>
    <row r="180" spans="1:3" x14ac:dyDescent="0.25">
      <c r="A180" s="67" t="s">
        <v>612</v>
      </c>
      <c r="B180" s="69">
        <f>3282.07</f>
        <v>3282.07</v>
      </c>
      <c r="C180" s="69">
        <f>3282.07</f>
        <v>3282.07</v>
      </c>
    </row>
    <row r="181" spans="1:3" x14ac:dyDescent="0.25">
      <c r="A181" s="67" t="s">
        <v>613</v>
      </c>
      <c r="B181" s="69">
        <f>0</f>
        <v>0</v>
      </c>
      <c r="C181" s="69">
        <f>2428.78</f>
        <v>2428.7800000000002</v>
      </c>
    </row>
    <row r="182" spans="1:3" x14ac:dyDescent="0.25">
      <c r="A182" s="67" t="s">
        <v>614</v>
      </c>
      <c r="B182" s="69">
        <f>0</f>
        <v>0</v>
      </c>
      <c r="C182" s="69">
        <f>0</f>
        <v>0</v>
      </c>
    </row>
    <row r="183" spans="1:3" x14ac:dyDescent="0.25">
      <c r="A183" s="67" t="s">
        <v>615</v>
      </c>
      <c r="B183" s="69">
        <f>4732.73</f>
        <v>4732.7299999999996</v>
      </c>
      <c r="C183" s="69">
        <f>4732.73</f>
        <v>4732.7299999999996</v>
      </c>
    </row>
    <row r="184" spans="1:3" x14ac:dyDescent="0.25">
      <c r="A184" s="67" t="s">
        <v>616</v>
      </c>
      <c r="B184" s="69">
        <f>1224.61</f>
        <v>1224.6099999999999</v>
      </c>
      <c r="C184" s="69">
        <f>1224.61</f>
        <v>1224.6099999999999</v>
      </c>
    </row>
    <row r="185" spans="1:3" x14ac:dyDescent="0.25">
      <c r="A185" s="67" t="s">
        <v>617</v>
      </c>
      <c r="B185" s="69">
        <f>2651.5</f>
        <v>2651.5</v>
      </c>
      <c r="C185" s="69">
        <f>2651.5</f>
        <v>2651.5</v>
      </c>
    </row>
    <row r="186" spans="1:3" x14ac:dyDescent="0.25">
      <c r="A186" s="67" t="s">
        <v>618</v>
      </c>
      <c r="B186" s="69">
        <f>0</f>
        <v>0</v>
      </c>
      <c r="C186" s="69">
        <f>0</f>
        <v>0</v>
      </c>
    </row>
    <row r="187" spans="1:3" x14ac:dyDescent="0.25">
      <c r="A187" s="67" t="s">
        <v>619</v>
      </c>
      <c r="B187" s="69">
        <f>4245.13</f>
        <v>4245.13</v>
      </c>
      <c r="C187" s="69">
        <f>4245.13</f>
        <v>4245.13</v>
      </c>
    </row>
    <row r="188" spans="1:3" x14ac:dyDescent="0.25">
      <c r="A188" s="67" t="s">
        <v>620</v>
      </c>
      <c r="B188" s="69">
        <f>0</f>
        <v>0</v>
      </c>
      <c r="C188" s="69">
        <f>1285.3</f>
        <v>1285.3</v>
      </c>
    </row>
    <row r="189" spans="1:3" x14ac:dyDescent="0.25">
      <c r="A189" s="67" t="s">
        <v>621</v>
      </c>
      <c r="B189" s="69">
        <f>327.09</f>
        <v>327.08999999999997</v>
      </c>
      <c r="C189" s="69">
        <f>327.09</f>
        <v>327.08999999999997</v>
      </c>
    </row>
    <row r="190" spans="1:3" x14ac:dyDescent="0.25">
      <c r="A190" s="67" t="s">
        <v>622</v>
      </c>
      <c r="B190" s="69">
        <f>3552.77</f>
        <v>3552.77</v>
      </c>
      <c r="C190" s="69">
        <f>3552.77</f>
        <v>3552.77</v>
      </c>
    </row>
    <row r="191" spans="1:3" x14ac:dyDescent="0.25">
      <c r="A191" s="67" t="s">
        <v>623</v>
      </c>
      <c r="B191" s="69">
        <f>2845.1</f>
        <v>2845.1</v>
      </c>
      <c r="C191" s="69">
        <f>2845.1</f>
        <v>2845.1</v>
      </c>
    </row>
    <row r="192" spans="1:3" x14ac:dyDescent="0.25">
      <c r="A192" s="67" t="s">
        <v>624</v>
      </c>
      <c r="B192" s="69">
        <f>220</f>
        <v>220</v>
      </c>
      <c r="C192" s="69">
        <f>145</f>
        <v>145</v>
      </c>
    </row>
    <row r="193" spans="1:3" x14ac:dyDescent="0.25">
      <c r="A193" s="67" t="s">
        <v>625</v>
      </c>
      <c r="B193" s="70">
        <f>(B191)+(B192)</f>
        <v>3065.1</v>
      </c>
      <c r="C193" s="70">
        <f>(C191)+(C192)</f>
        <v>2990.1</v>
      </c>
    </row>
    <row r="194" spans="1:3" x14ac:dyDescent="0.25">
      <c r="A194" s="67" t="s">
        <v>626</v>
      </c>
      <c r="B194" s="69">
        <f>2021.97</f>
        <v>2021.97</v>
      </c>
      <c r="C194" s="69">
        <f>2021.97</f>
        <v>2021.97</v>
      </c>
    </row>
    <row r="195" spans="1:3" x14ac:dyDescent="0.25">
      <c r="A195" s="67" t="s">
        <v>627</v>
      </c>
      <c r="B195" s="70">
        <f>(((((((((((((B179)+(B180))+(B181))+(B182))+(B183))+(B184))+(B185))+(B186))+(B187))+(B188))+(B189))+(B190))+(B193))+(B194)</f>
        <v>25102.97</v>
      </c>
      <c r="C195" s="70">
        <f>(((((((((((((C179)+(C180))+(C181))+(C182))+(C183))+(C184))+(C185))+(C186))+(C187))+(C188))+(C189))+(C190))+(C193))+(C194)</f>
        <v>28742.05</v>
      </c>
    </row>
    <row r="196" spans="1:3" x14ac:dyDescent="0.25">
      <c r="A196" s="67" t="s">
        <v>628</v>
      </c>
      <c r="B196" s="69">
        <f>25066.56</f>
        <v>25066.560000000001</v>
      </c>
      <c r="C196" s="69">
        <f>29436.45</f>
        <v>29436.45</v>
      </c>
    </row>
    <row r="197" spans="1:3" x14ac:dyDescent="0.25">
      <c r="A197" s="67" t="s">
        <v>629</v>
      </c>
      <c r="B197" s="70">
        <f>((((B165)+(B166))+(B178))+(B195))+(B196)</f>
        <v>160042.46000000002</v>
      </c>
      <c r="C197" s="70">
        <f>((((C165)+(C166))+(C178))+(C195))+(C196)</f>
        <v>188098.90000000002</v>
      </c>
    </row>
    <row r="198" spans="1:3" x14ac:dyDescent="0.25">
      <c r="A198" s="67" t="s">
        <v>7</v>
      </c>
      <c r="B198" s="70">
        <f>(B163)+(B197)</f>
        <v>204054.2</v>
      </c>
      <c r="C198" s="70">
        <f>(C163)+(C197)</f>
        <v>231686.10000000003</v>
      </c>
    </row>
    <row r="199" spans="1:3" x14ac:dyDescent="0.25">
      <c r="A199" s="67"/>
      <c r="B199" s="68"/>
      <c r="C199" s="68"/>
    </row>
    <row r="200" spans="1:3" x14ac:dyDescent="0.25">
      <c r="A200"/>
    </row>
    <row r="201" spans="1:3" x14ac:dyDescent="0.25">
      <c r="A201"/>
    </row>
    <row r="202" spans="1:3" ht="15.75" customHeight="1" x14ac:dyDescent="0.25">
      <c r="A202" s="80" t="s">
        <v>630</v>
      </c>
      <c r="B202" s="81"/>
      <c r="C202" s="81"/>
    </row>
    <row r="203" spans="1:3" x14ac:dyDescent="0.25">
      <c r="A203" s="79"/>
      <c r="B203" s="79"/>
      <c r="C203" s="79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4"/>
  <sheetViews>
    <sheetView tabSelected="1" workbookViewId="0">
      <pane xSplit="8" ySplit="5" topLeftCell="I6" activePane="bottomRight" state="frozenSplit"/>
      <selection pane="topRight" activeCell="I1" sqref="I1"/>
      <selection pane="bottomLeft" activeCell="A6" sqref="A6"/>
      <selection pane="bottomRight" activeCell="I13" sqref="I13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8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633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631</v>
      </c>
      <c r="J5" s="21" t="s">
        <v>632</v>
      </c>
      <c r="K5" s="21" t="s">
        <v>9</v>
      </c>
      <c r="L5" s="21" t="s">
        <v>10</v>
      </c>
    </row>
    <row r="6" spans="1:12" x14ac:dyDescent="0.25">
      <c r="A6" s="2"/>
      <c r="B6" s="2"/>
      <c r="C6" s="2"/>
      <c r="D6" s="28" t="s">
        <v>11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12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13</v>
      </c>
      <c r="G8" s="27"/>
      <c r="H8"/>
      <c r="I8" s="30">
        <v>1613.32</v>
      </c>
      <c r="J8" s="35">
        <v>41258.29</v>
      </c>
      <c r="K8" s="35">
        <v>56144</v>
      </c>
      <c r="L8" s="32">
        <f>J8/K8</f>
        <v>0.73486552436591623</v>
      </c>
    </row>
    <row r="9" spans="1:12" x14ac:dyDescent="0.25">
      <c r="A9" s="2"/>
      <c r="B9" s="2"/>
      <c r="C9" s="2"/>
      <c r="D9" s="27"/>
      <c r="E9" s="27"/>
      <c r="F9" s="28" t="s">
        <v>14</v>
      </c>
      <c r="G9" s="27"/>
      <c r="H9"/>
      <c r="I9" s="30">
        <v>363</v>
      </c>
      <c r="J9" s="35">
        <v>12672.5</v>
      </c>
      <c r="K9" s="35">
        <v>19844</v>
      </c>
      <c r="L9" s="32">
        <f t="shared" ref="L9:L11" si="0">J9/K9</f>
        <v>0.63860612779681514</v>
      </c>
    </row>
    <row r="10" spans="1:12" x14ac:dyDescent="0.25">
      <c r="A10" s="2"/>
      <c r="B10" s="2"/>
      <c r="C10" s="2"/>
      <c r="D10" s="27"/>
      <c r="E10" s="27"/>
      <c r="F10" s="28" t="s">
        <v>15</v>
      </c>
      <c r="G10" s="27"/>
      <c r="H10"/>
      <c r="I10" s="30">
        <v>59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25">
      <c r="A11" s="2"/>
      <c r="B11" s="2"/>
      <c r="C11" s="2"/>
      <c r="D11" s="27"/>
      <c r="E11" s="27"/>
      <c r="F11" s="28" t="s">
        <v>16</v>
      </c>
      <c r="G11" s="27"/>
      <c r="H11"/>
      <c r="I11" s="30">
        <v>0</v>
      </c>
      <c r="J11" s="35">
        <v>2992.16</v>
      </c>
      <c r="K11" s="35">
        <v>2590</v>
      </c>
      <c r="L11" s="32">
        <f t="shared" si="0"/>
        <v>1.1552741312741313</v>
      </c>
    </row>
    <row r="12" spans="1:12" x14ac:dyDescent="0.25">
      <c r="A12" s="2"/>
      <c r="B12" s="2"/>
      <c r="C12" s="2"/>
      <c r="D12" s="27"/>
      <c r="E12" s="27"/>
      <c r="F12" s="28" t="s">
        <v>17</v>
      </c>
      <c r="G12" s="27"/>
      <c r="H12"/>
      <c r="I12" s="31">
        <v>271</v>
      </c>
      <c r="J12" s="36">
        <v>271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18</v>
      </c>
      <c r="F13" s="27"/>
      <c r="G13" s="27"/>
      <c r="H13" s="29"/>
      <c r="I13" s="30">
        <f>SUM(I8:I12)</f>
        <v>2306.3199999999997</v>
      </c>
      <c r="J13" s="30">
        <f>SUM(J8:J12)</f>
        <v>58128.119999999995</v>
      </c>
      <c r="K13" s="35">
        <f>SUM(K8:K12)</f>
        <v>80040</v>
      </c>
      <c r="L13" s="32">
        <f>J13/K13</f>
        <v>0.72623838080959513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19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</v>
      </c>
      <c r="G16" s="27"/>
      <c r="H16" s="29"/>
      <c r="I16" s="30">
        <v>300</v>
      </c>
      <c r="J16" s="35">
        <v>2000</v>
      </c>
      <c r="K16" s="35">
        <v>7800</v>
      </c>
      <c r="L16" s="32">
        <f t="shared" ref="L16:L20" si="1">J16/K16</f>
        <v>0.25641025641025639</v>
      </c>
    </row>
    <row r="17" spans="1:12" x14ac:dyDescent="0.25">
      <c r="A17" s="2"/>
      <c r="B17" s="2"/>
      <c r="C17" s="2"/>
      <c r="D17" s="27"/>
      <c r="E17" s="27"/>
      <c r="F17" s="28" t="s">
        <v>21</v>
      </c>
      <c r="G17" s="27"/>
      <c r="H17" s="29"/>
      <c r="I17" s="30">
        <v>150</v>
      </c>
      <c r="J17" s="35">
        <v>1200</v>
      </c>
      <c r="K17" s="35">
        <v>3900</v>
      </c>
      <c r="L17" s="32">
        <f t="shared" si="1"/>
        <v>0.30769230769230771</v>
      </c>
    </row>
    <row r="18" spans="1:12" x14ac:dyDescent="0.25">
      <c r="A18" s="2"/>
      <c r="B18" s="2"/>
      <c r="C18" s="2"/>
      <c r="D18" s="27"/>
      <c r="E18" s="27"/>
      <c r="F18" s="28" t="s">
        <v>22</v>
      </c>
      <c r="G18" s="27"/>
      <c r="H18" s="29"/>
      <c r="I18" s="30">
        <v>0</v>
      </c>
      <c r="J18" s="35">
        <v>700</v>
      </c>
      <c r="K18" s="35">
        <v>1925</v>
      </c>
      <c r="L18" s="32">
        <f t="shared" si="1"/>
        <v>0.36363636363636365</v>
      </c>
    </row>
    <row r="19" spans="1:12" x14ac:dyDescent="0.25">
      <c r="A19" s="2"/>
      <c r="B19" s="2"/>
      <c r="C19" s="2"/>
      <c r="D19" s="27"/>
      <c r="E19" s="27"/>
      <c r="F19" s="28" t="s">
        <v>23</v>
      </c>
      <c r="G19" s="27"/>
      <c r="H19" s="29"/>
      <c r="I19" s="31">
        <v>0</v>
      </c>
      <c r="J19" s="36">
        <v>400</v>
      </c>
      <c r="K19" s="36">
        <v>1000</v>
      </c>
      <c r="L19" s="33">
        <f t="shared" si="1"/>
        <v>0.4</v>
      </c>
    </row>
    <row r="20" spans="1:12" x14ac:dyDescent="0.25">
      <c r="A20" s="2"/>
      <c r="B20" s="2"/>
      <c r="C20" s="2"/>
      <c r="D20" s="27"/>
      <c r="E20" s="28" t="s">
        <v>24</v>
      </c>
      <c r="F20" s="27"/>
      <c r="G20" s="27"/>
      <c r="H20" s="29"/>
      <c r="I20" s="30">
        <f>SUM(I16:I19)</f>
        <v>450</v>
      </c>
      <c r="J20" s="30">
        <f>SUM(J16:J19)</f>
        <v>4300</v>
      </c>
      <c r="K20" s="30">
        <f>SUM(K16:K19)</f>
        <v>14625</v>
      </c>
      <c r="L20" s="32">
        <f t="shared" si="1"/>
        <v>0.29401709401709403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25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26</v>
      </c>
      <c r="G23" s="27"/>
      <c r="H23"/>
      <c r="I23" s="30">
        <v>0</v>
      </c>
      <c r="J23" s="35">
        <v>50</v>
      </c>
      <c r="K23" s="35">
        <v>50</v>
      </c>
      <c r="L23" s="32">
        <f t="shared" ref="L23:L27" si="2">J23/K23</f>
        <v>1</v>
      </c>
    </row>
    <row r="24" spans="1:12" x14ac:dyDescent="0.25">
      <c r="A24" s="2"/>
      <c r="B24" s="2"/>
      <c r="C24" s="2"/>
      <c r="D24" s="27"/>
      <c r="E24" s="27"/>
      <c r="F24" s="28" t="s">
        <v>27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28</v>
      </c>
      <c r="G25" s="27"/>
      <c r="H25"/>
      <c r="I25" s="30">
        <v>0</v>
      </c>
      <c r="J25" s="35">
        <v>180</v>
      </c>
      <c r="K25" s="35">
        <v>450</v>
      </c>
      <c r="L25" s="32">
        <f t="shared" si="2"/>
        <v>0.4</v>
      </c>
    </row>
    <row r="26" spans="1:12" x14ac:dyDescent="0.25">
      <c r="A26" s="2"/>
      <c r="B26" s="2"/>
      <c r="C26" s="2"/>
      <c r="D26" s="27"/>
      <c r="E26" s="27"/>
      <c r="F26" s="28" t="s">
        <v>29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30</v>
      </c>
      <c r="F27" s="27"/>
      <c r="G27" s="27"/>
      <c r="H27"/>
      <c r="I27" s="30">
        <f>SUM(I23:I26)</f>
        <v>0</v>
      </c>
      <c r="J27" s="30">
        <f>SUM(J23:J26)</f>
        <v>570</v>
      </c>
      <c r="K27" s="30">
        <f>SUM(K23:K26)</f>
        <v>1080</v>
      </c>
      <c r="L27" s="32">
        <f t="shared" si="2"/>
        <v>0.52777777777777779</v>
      </c>
    </row>
    <row r="28" spans="1:12" x14ac:dyDescent="0.25">
      <c r="A28" s="2"/>
      <c r="B28" s="2"/>
      <c r="C28" s="2"/>
      <c r="D28" s="27"/>
      <c r="E28" s="17" t="s">
        <v>31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32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33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34</v>
      </c>
      <c r="G32" s="27"/>
      <c r="H32"/>
      <c r="I32" s="30">
        <v>0</v>
      </c>
      <c r="J32" s="35">
        <v>50</v>
      </c>
      <c r="K32" s="35">
        <v>100</v>
      </c>
      <c r="L32" s="32">
        <f>J32/K32</f>
        <v>0.5</v>
      </c>
    </row>
    <row r="33" spans="1:12" x14ac:dyDescent="0.25">
      <c r="A33" s="2"/>
      <c r="B33" s="2"/>
      <c r="C33" s="2"/>
      <c r="D33" s="27"/>
      <c r="E33" s="27"/>
      <c r="F33" s="28" t="s">
        <v>35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36</v>
      </c>
      <c r="G34" s="27"/>
      <c r="H34"/>
      <c r="I34" s="30">
        <v>825</v>
      </c>
      <c r="J34" s="35">
        <v>17225</v>
      </c>
      <c r="K34" s="35">
        <v>24000</v>
      </c>
      <c r="L34" s="32">
        <f t="shared" ref="L34:L40" si="3">J34/K34</f>
        <v>0.71770833333333328</v>
      </c>
    </row>
    <row r="35" spans="1:12" x14ac:dyDescent="0.25">
      <c r="A35" s="2"/>
      <c r="B35" s="2"/>
      <c r="C35" s="2"/>
      <c r="D35" s="27"/>
      <c r="E35" s="27"/>
      <c r="F35" s="28" t="s">
        <v>37</v>
      </c>
      <c r="H35"/>
      <c r="I35" s="30">
        <v>1.58</v>
      </c>
      <c r="J35" s="35">
        <v>12.7</v>
      </c>
      <c r="K35" s="35">
        <v>65</v>
      </c>
      <c r="L35" s="32">
        <f t="shared" si="3"/>
        <v>0.19538461538461538</v>
      </c>
    </row>
    <row r="36" spans="1:12" x14ac:dyDescent="0.25">
      <c r="A36" s="2"/>
      <c r="B36" s="2"/>
      <c r="C36" s="2"/>
      <c r="D36" s="27"/>
      <c r="E36" s="27"/>
      <c r="F36" s="54" t="s">
        <v>38</v>
      </c>
      <c r="H36"/>
      <c r="I36" s="30">
        <v>1</v>
      </c>
      <c r="J36" s="35">
        <v>9</v>
      </c>
      <c r="K36" s="35">
        <v>2750</v>
      </c>
      <c r="L36" s="32">
        <f t="shared" si="3"/>
        <v>3.2727272727272726E-3</v>
      </c>
    </row>
    <row r="37" spans="1:12" x14ac:dyDescent="0.25">
      <c r="A37" s="2"/>
      <c r="B37" s="2"/>
      <c r="C37" s="2"/>
      <c r="D37" s="27"/>
      <c r="E37" s="27"/>
      <c r="F37" s="54" t="s">
        <v>39</v>
      </c>
      <c r="H37"/>
      <c r="I37" s="30">
        <v>19.52</v>
      </c>
      <c r="J37" s="35">
        <v>19.52</v>
      </c>
      <c r="K37" s="35">
        <v>8</v>
      </c>
      <c r="L37" s="32">
        <f t="shared" si="3"/>
        <v>2.44</v>
      </c>
    </row>
    <row r="38" spans="1:12" x14ac:dyDescent="0.25">
      <c r="A38" s="2"/>
      <c r="B38" s="2"/>
      <c r="C38" s="2"/>
      <c r="D38" s="27"/>
      <c r="E38" s="27"/>
      <c r="F38" s="28" t="s">
        <v>436</v>
      </c>
      <c r="H38"/>
      <c r="I38" s="30">
        <v>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40</v>
      </c>
      <c r="H39"/>
      <c r="I39" s="30">
        <v>0</v>
      </c>
      <c r="J39" s="35">
        <v>160</v>
      </c>
      <c r="K39" s="35">
        <v>80</v>
      </c>
      <c r="L39" s="32">
        <f t="shared" si="3"/>
        <v>2</v>
      </c>
    </row>
    <row r="40" spans="1:12" x14ac:dyDescent="0.25">
      <c r="A40" s="2"/>
      <c r="B40" s="2"/>
      <c r="C40" s="2"/>
      <c r="D40" s="27"/>
      <c r="E40" s="27"/>
      <c r="F40" s="28" t="s">
        <v>41</v>
      </c>
      <c r="H40"/>
      <c r="I40" s="55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25">
      <c r="A41" s="2"/>
      <c r="B41" s="2"/>
      <c r="C41" s="2"/>
      <c r="D41" s="27"/>
      <c r="E41" s="27"/>
      <c r="F41" s="28" t="s">
        <v>42</v>
      </c>
      <c r="H41"/>
      <c r="I41" s="31">
        <v>1</v>
      </c>
      <c r="J41" s="36">
        <v>1</v>
      </c>
      <c r="K41" s="36"/>
      <c r="L41" s="33"/>
    </row>
    <row r="42" spans="1:12" x14ac:dyDescent="0.25">
      <c r="A42" s="2"/>
      <c r="B42" s="2"/>
      <c r="C42" s="2"/>
      <c r="D42" s="27"/>
      <c r="E42" s="28" t="s">
        <v>43</v>
      </c>
      <c r="F42" s="27"/>
      <c r="G42" s="27"/>
      <c r="H42"/>
      <c r="I42" s="30">
        <f>SUM(I31:I41)</f>
        <v>848.1</v>
      </c>
      <c r="J42" s="30">
        <f>SUM(J31:J41)</f>
        <v>19727.22</v>
      </c>
      <c r="K42" s="30">
        <f>SUM(K31:K41)</f>
        <v>28803</v>
      </c>
      <c r="L42" s="32">
        <f>J42/K42</f>
        <v>0.68490157275283825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44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45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46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47</v>
      </c>
      <c r="H47"/>
      <c r="I47" s="31">
        <v>0</v>
      </c>
      <c r="J47" s="36">
        <v>104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48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49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50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51</v>
      </c>
      <c r="G52" s="27"/>
      <c r="H52"/>
      <c r="I52" s="30">
        <v>0</v>
      </c>
      <c r="J52" s="35">
        <v>0</v>
      </c>
      <c r="K52" s="35">
        <v>78</v>
      </c>
      <c r="L52" s="32">
        <f>J52/K52</f>
        <v>0</v>
      </c>
    </row>
    <row r="53" spans="1:12" ht="13.5" customHeight="1" x14ac:dyDescent="0.25">
      <c r="A53" s="2"/>
      <c r="B53" s="2"/>
      <c r="C53" s="2"/>
      <c r="D53" s="27"/>
      <c r="E53" s="27"/>
      <c r="F53" s="28" t="s">
        <v>52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53</v>
      </c>
      <c r="G54" s="27"/>
      <c r="H54"/>
      <c r="I54" s="30">
        <v>0</v>
      </c>
      <c r="J54" s="35">
        <v>0</v>
      </c>
      <c r="K54" s="35">
        <v>78</v>
      </c>
      <c r="L54" s="32">
        <f>J54/K54</f>
        <v>0</v>
      </c>
    </row>
    <row r="55" spans="1:12" x14ac:dyDescent="0.25">
      <c r="A55" s="2"/>
      <c r="B55" s="2"/>
      <c r="C55" s="2"/>
      <c r="D55" s="27"/>
      <c r="E55" s="27"/>
      <c r="F55" s="54" t="s">
        <v>54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55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56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57</v>
      </c>
      <c r="G58" s="27"/>
      <c r="H58"/>
      <c r="I58" s="30">
        <v>0</v>
      </c>
      <c r="J58" s="35">
        <v>0</v>
      </c>
      <c r="K58" s="35">
        <v>78</v>
      </c>
      <c r="L58" s="32">
        <f t="shared" ref="L58:L82" si="4">J58/K58</f>
        <v>0</v>
      </c>
    </row>
    <row r="59" spans="1:12" x14ac:dyDescent="0.25">
      <c r="A59" s="2"/>
      <c r="B59" s="2"/>
      <c r="C59" s="2"/>
      <c r="D59" s="27"/>
      <c r="E59" s="27"/>
      <c r="F59" s="28" t="s">
        <v>58</v>
      </c>
      <c r="G59" s="27"/>
      <c r="H59"/>
      <c r="I59" s="30">
        <v>0</v>
      </c>
      <c r="J59" s="35">
        <v>117</v>
      </c>
      <c r="K59" s="35">
        <v>117</v>
      </c>
      <c r="L59" s="32">
        <f t="shared" si="4"/>
        <v>1</v>
      </c>
    </row>
    <row r="60" spans="1:12" x14ac:dyDescent="0.25">
      <c r="A60" s="2"/>
      <c r="B60" s="2"/>
      <c r="C60" s="2"/>
      <c r="D60" s="27"/>
      <c r="E60" s="27"/>
      <c r="F60" s="28" t="s">
        <v>59</v>
      </c>
      <c r="G60" s="27"/>
      <c r="H60"/>
      <c r="I60" s="30">
        <v>0</v>
      </c>
      <c r="J60" s="35">
        <v>0</v>
      </c>
      <c r="K60" s="35">
        <v>78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60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61</v>
      </c>
      <c r="G62" s="27"/>
      <c r="H62"/>
      <c r="I62" s="30">
        <v>0</v>
      </c>
      <c r="J62" s="35">
        <v>0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62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63</v>
      </c>
      <c r="G64" s="27"/>
      <c r="H64"/>
      <c r="I64" s="30">
        <v>0</v>
      </c>
      <c r="J64" s="35">
        <v>78</v>
      </c>
      <c r="K64" s="35">
        <v>78</v>
      </c>
      <c r="L64" s="32">
        <f t="shared" si="4"/>
        <v>1</v>
      </c>
    </row>
    <row r="65" spans="1:12" x14ac:dyDescent="0.25">
      <c r="A65" s="2"/>
      <c r="B65" s="2"/>
      <c r="C65" s="2"/>
      <c r="D65" s="27"/>
      <c r="E65" s="27"/>
      <c r="F65" s="28" t="s">
        <v>64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65</v>
      </c>
      <c r="G66" s="27"/>
      <c r="H66"/>
      <c r="I66" s="30">
        <v>0</v>
      </c>
      <c r="J66" s="35">
        <v>0</v>
      </c>
      <c r="K66" s="35">
        <v>117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66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67</v>
      </c>
      <c r="G68" s="27"/>
      <c r="H68"/>
      <c r="I68" s="30">
        <v>0</v>
      </c>
      <c r="J68" s="35">
        <v>39</v>
      </c>
      <c r="K68" s="35">
        <v>39</v>
      </c>
      <c r="L68" s="32">
        <f t="shared" si="4"/>
        <v>1</v>
      </c>
    </row>
    <row r="69" spans="1:12" x14ac:dyDescent="0.25">
      <c r="A69" s="2"/>
      <c r="B69" s="2"/>
      <c r="C69" s="2"/>
      <c r="D69" s="27"/>
      <c r="E69" s="27"/>
      <c r="F69" s="28" t="s">
        <v>68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69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70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71</v>
      </c>
      <c r="G72" s="27"/>
      <c r="H72"/>
      <c r="I72" s="30">
        <v>0</v>
      </c>
      <c r="J72" s="35">
        <v>0</v>
      </c>
      <c r="K72" s="35">
        <v>39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72</v>
      </c>
      <c r="G73" s="27"/>
      <c r="H73"/>
      <c r="I73" s="30">
        <v>0</v>
      </c>
      <c r="J73" s="35">
        <v>0</v>
      </c>
      <c r="K73" s="35">
        <v>78</v>
      </c>
      <c r="L73" s="32">
        <f t="shared" si="4"/>
        <v>0</v>
      </c>
    </row>
    <row r="74" spans="1:12" x14ac:dyDescent="0.25">
      <c r="A74" s="2"/>
      <c r="B74" s="2"/>
      <c r="C74" s="2"/>
      <c r="D74" s="27"/>
      <c r="E74" s="27"/>
      <c r="F74" s="28" t="s">
        <v>73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74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75</v>
      </c>
      <c r="G76" s="27"/>
      <c r="H76"/>
      <c r="I76" s="30">
        <v>39</v>
      </c>
      <c r="J76" s="35">
        <v>78</v>
      </c>
      <c r="K76" s="35">
        <v>78</v>
      </c>
      <c r="L76" s="32">
        <f t="shared" si="4"/>
        <v>1</v>
      </c>
    </row>
    <row r="77" spans="1:12" x14ac:dyDescent="0.25">
      <c r="A77" s="2"/>
      <c r="B77" s="2"/>
      <c r="C77" s="2"/>
      <c r="D77" s="27"/>
      <c r="E77" s="27"/>
      <c r="F77" s="28" t="s">
        <v>76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77</v>
      </c>
      <c r="G78" s="27"/>
      <c r="H78"/>
      <c r="I78" s="30">
        <v>0</v>
      </c>
      <c r="J78" s="35">
        <v>0</v>
      </c>
      <c r="K78" s="35">
        <v>39</v>
      </c>
      <c r="L78" s="32">
        <f t="shared" si="4"/>
        <v>0</v>
      </c>
    </row>
    <row r="79" spans="1:12" x14ac:dyDescent="0.25">
      <c r="A79" s="2"/>
      <c r="B79" s="2"/>
      <c r="C79" s="2"/>
      <c r="D79" s="27"/>
      <c r="E79" s="27"/>
      <c r="F79" s="28" t="s">
        <v>78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79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80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25">
      <c r="A82" s="2"/>
      <c r="B82" s="2"/>
      <c r="C82" s="2"/>
      <c r="D82" s="27"/>
      <c r="E82" s="27"/>
      <c r="F82" s="28" t="s">
        <v>81</v>
      </c>
      <c r="G82" s="27"/>
      <c r="H82"/>
      <c r="I82" s="30">
        <v>0</v>
      </c>
      <c r="J82" s="35">
        <v>0</v>
      </c>
      <c r="K82" s="35">
        <v>39</v>
      </c>
      <c r="L82" s="32">
        <f t="shared" si="4"/>
        <v>0</v>
      </c>
    </row>
    <row r="83" spans="1:12" x14ac:dyDescent="0.25">
      <c r="A83" s="2"/>
      <c r="B83" s="2"/>
      <c r="C83" s="2"/>
      <c r="D83" s="27"/>
      <c r="E83" s="27"/>
      <c r="F83" s="28" t="s">
        <v>82</v>
      </c>
      <c r="G83" s="27"/>
      <c r="H83"/>
      <c r="I83" s="30">
        <v>0</v>
      </c>
      <c r="J83" s="35">
        <v>0</v>
      </c>
      <c r="K83" s="35">
        <v>78</v>
      </c>
      <c r="L83" s="32">
        <f t="shared" ref="L83" si="5">J83/K83</f>
        <v>0</v>
      </c>
    </row>
    <row r="84" spans="1:12" x14ac:dyDescent="0.25">
      <c r="A84" s="2"/>
      <c r="B84" s="2"/>
      <c r="C84" s="2"/>
      <c r="D84" s="27"/>
      <c r="E84" s="27"/>
      <c r="F84" s="28" t="s">
        <v>83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84</v>
      </c>
      <c r="G85" s="27"/>
      <c r="H85"/>
      <c r="I85" s="30">
        <v>0</v>
      </c>
      <c r="J85" s="35">
        <v>39</v>
      </c>
      <c r="K85" s="35">
        <v>156</v>
      </c>
      <c r="L85" s="32">
        <f>J85/K85</f>
        <v>0.25</v>
      </c>
    </row>
    <row r="86" spans="1:12" x14ac:dyDescent="0.25">
      <c r="A86" s="2"/>
      <c r="B86" s="2"/>
      <c r="C86" s="2"/>
      <c r="D86" s="27"/>
      <c r="E86" s="27"/>
      <c r="F86" s="28" t="s">
        <v>85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86</v>
      </c>
      <c r="G87" s="27"/>
      <c r="H87"/>
      <c r="I87" s="30">
        <v>0</v>
      </c>
      <c r="J87" s="35">
        <v>0</v>
      </c>
      <c r="K87" s="35">
        <v>156</v>
      </c>
      <c r="L87" s="32">
        <f t="shared" ref="L87:L90" si="7">J87/K87</f>
        <v>0</v>
      </c>
    </row>
    <row r="88" spans="1:12" x14ac:dyDescent="0.25">
      <c r="A88" s="2"/>
      <c r="B88" s="2"/>
      <c r="C88" s="2"/>
      <c r="D88" s="27"/>
      <c r="E88" s="27"/>
      <c r="F88" s="28" t="s">
        <v>432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427</v>
      </c>
      <c r="G89" s="27"/>
      <c r="H89"/>
      <c r="I89" s="30">
        <v>0</v>
      </c>
      <c r="J89" s="35">
        <v>0</v>
      </c>
      <c r="K89" s="35">
        <v>1218</v>
      </c>
      <c r="L89" s="32">
        <f>J89/K89</f>
        <v>0</v>
      </c>
    </row>
    <row r="90" spans="1:12" x14ac:dyDescent="0.25">
      <c r="A90" s="2"/>
      <c r="B90" s="2"/>
      <c r="C90" s="2"/>
      <c r="D90" s="27"/>
      <c r="E90" s="27"/>
      <c r="F90" s="28" t="s">
        <v>428</v>
      </c>
      <c r="G90" s="27"/>
      <c r="H90"/>
      <c r="I90" s="30">
        <v>0</v>
      </c>
      <c r="J90" s="35">
        <v>0</v>
      </c>
      <c r="K90" s="35">
        <v>1218</v>
      </c>
      <c r="L90" s="32">
        <f t="shared" si="7"/>
        <v>0</v>
      </c>
    </row>
    <row r="91" spans="1:12" x14ac:dyDescent="0.25">
      <c r="A91" s="2"/>
      <c r="B91" s="2"/>
      <c r="C91" s="2"/>
      <c r="D91" s="27"/>
      <c r="E91" s="28" t="s">
        <v>87</v>
      </c>
      <c r="F91" s="27"/>
      <c r="G91" s="27"/>
      <c r="H91"/>
      <c r="I91" s="37">
        <f>SUM(I52:I90)</f>
        <v>39</v>
      </c>
      <c r="J91" s="37">
        <f>SUM(J52:J90)</f>
        <v>971</v>
      </c>
      <c r="K91" s="37">
        <f>SUM(K52:K90)</f>
        <v>5760</v>
      </c>
      <c r="L91" s="38">
        <f>J91/K91</f>
        <v>0.1685763888888889</v>
      </c>
    </row>
    <row r="92" spans="1:12" x14ac:dyDescent="0.25">
      <c r="A92" s="2"/>
      <c r="B92" s="2"/>
      <c r="C92" s="2"/>
      <c r="D92" s="27"/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8" t="s">
        <v>88</v>
      </c>
      <c r="F93" s="27"/>
      <c r="G93" s="27"/>
      <c r="H93"/>
      <c r="I93" s="30"/>
      <c r="J93" s="35"/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89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90</v>
      </c>
      <c r="G95" s="27"/>
      <c r="H95"/>
      <c r="I95" s="30">
        <v>0</v>
      </c>
      <c r="J95" s="35">
        <v>0</v>
      </c>
      <c r="K95" s="35"/>
      <c r="L95" s="32"/>
    </row>
    <row r="96" spans="1:12" x14ac:dyDescent="0.25">
      <c r="A96" s="2"/>
      <c r="B96" s="2"/>
      <c r="C96" s="2"/>
      <c r="D96" s="27"/>
      <c r="E96" s="27"/>
      <c r="F96" s="28" t="s">
        <v>91</v>
      </c>
      <c r="G96" s="27"/>
      <c r="H96"/>
      <c r="I96" s="30">
        <v>149</v>
      </c>
      <c r="J96" s="35">
        <v>149</v>
      </c>
      <c r="K96" s="35">
        <v>149</v>
      </c>
      <c r="L96" s="32">
        <f>J96/K96</f>
        <v>1</v>
      </c>
    </row>
    <row r="97" spans="1:12" ht="28.9" customHeight="1" x14ac:dyDescent="0.25">
      <c r="A97" s="2"/>
      <c r="B97" s="2"/>
      <c r="C97" s="2"/>
      <c r="D97" s="27"/>
      <c r="E97" s="27"/>
      <c r="F97" s="28" t="s">
        <v>92</v>
      </c>
      <c r="G97" s="27"/>
      <c r="H97"/>
      <c r="I97" s="30">
        <v>0</v>
      </c>
      <c r="J97" s="35">
        <v>299</v>
      </c>
      <c r="K97" s="35">
        <v>598</v>
      </c>
      <c r="L97" s="32">
        <f>J97/K97</f>
        <v>0.5</v>
      </c>
    </row>
    <row r="98" spans="1:12" ht="28.9" customHeight="1" x14ac:dyDescent="0.25">
      <c r="A98" s="2"/>
      <c r="B98" s="2"/>
      <c r="C98" s="2"/>
      <c r="D98" s="27"/>
      <c r="E98" s="27"/>
      <c r="F98" s="28" t="s">
        <v>93</v>
      </c>
      <c r="G98" s="27"/>
      <c r="H98"/>
      <c r="I98" s="30">
        <v>0</v>
      </c>
      <c r="J98" s="35">
        <v>299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94</v>
      </c>
      <c r="G99" s="27"/>
      <c r="H99"/>
      <c r="I99" s="30">
        <v>0</v>
      </c>
      <c r="J99" s="35">
        <v>0</v>
      </c>
      <c r="K99" s="35"/>
      <c r="L99" s="32"/>
    </row>
    <row r="100" spans="1:12" x14ac:dyDescent="0.25">
      <c r="A100" s="2"/>
      <c r="B100" s="2"/>
      <c r="C100" s="2"/>
      <c r="D100" s="27"/>
      <c r="E100" s="27"/>
      <c r="F100" s="28" t="s">
        <v>95</v>
      </c>
      <c r="G100" s="27"/>
      <c r="H100"/>
      <c r="I100" s="30">
        <v>0</v>
      </c>
      <c r="J100" s="35">
        <v>0</v>
      </c>
      <c r="K100" s="35">
        <v>299</v>
      </c>
      <c r="L100" s="32">
        <f t="shared" ref="L100:L105" si="8">J100/K100</f>
        <v>0</v>
      </c>
    </row>
    <row r="101" spans="1:12" x14ac:dyDescent="0.25">
      <c r="A101" s="2"/>
      <c r="B101" s="2"/>
      <c r="C101" s="2"/>
      <c r="D101" s="27"/>
      <c r="E101" s="27"/>
      <c r="F101" s="28" t="s">
        <v>96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97</v>
      </c>
      <c r="G102" s="27"/>
      <c r="H102"/>
      <c r="I102" s="30">
        <v>0</v>
      </c>
      <c r="J102" s="35">
        <v>0</v>
      </c>
      <c r="K102" s="35">
        <v>299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98</v>
      </c>
      <c r="G103" s="27"/>
      <c r="H103"/>
      <c r="I103" s="30">
        <v>0</v>
      </c>
      <c r="J103" s="35">
        <v>0</v>
      </c>
      <c r="K103" s="35">
        <v>598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7"/>
      <c r="F104" s="28" t="s">
        <v>429</v>
      </c>
      <c r="G104" s="27"/>
      <c r="H104"/>
      <c r="I104" s="30">
        <v>0</v>
      </c>
      <c r="J104" s="35">
        <v>0</v>
      </c>
      <c r="K104" s="35">
        <v>6972</v>
      </c>
      <c r="L104" s="32">
        <f t="shared" si="8"/>
        <v>0</v>
      </c>
    </row>
    <row r="105" spans="1:12" x14ac:dyDescent="0.25">
      <c r="A105" s="2"/>
      <c r="B105" s="2"/>
      <c r="C105" s="2"/>
      <c r="D105" s="27"/>
      <c r="E105" s="28" t="s">
        <v>99</v>
      </c>
      <c r="F105" s="27"/>
      <c r="G105" s="27"/>
      <c r="H105"/>
      <c r="I105" s="37">
        <f>SUM(I94:I104)</f>
        <v>149</v>
      </c>
      <c r="J105" s="37">
        <f>SUM(J94:J104)</f>
        <v>747</v>
      </c>
      <c r="K105" s="37">
        <f>SUM(K94:K104)</f>
        <v>9214</v>
      </c>
      <c r="L105" s="38">
        <f t="shared" si="8"/>
        <v>8.1072281311048405E-2</v>
      </c>
    </row>
    <row r="106" spans="1:12" x14ac:dyDescent="0.25">
      <c r="A106" s="2"/>
      <c r="B106" s="2"/>
      <c r="C106" s="2"/>
      <c r="D106" s="27"/>
      <c r="F106" s="27"/>
      <c r="G106" s="27"/>
      <c r="H106"/>
      <c r="I106" s="30"/>
      <c r="J106" s="35"/>
      <c r="K106" s="35"/>
      <c r="L106" s="32"/>
    </row>
    <row r="107" spans="1:12" x14ac:dyDescent="0.25">
      <c r="A107" s="2"/>
      <c r="B107" s="2"/>
      <c r="C107" s="2"/>
      <c r="D107" s="27"/>
      <c r="E107" s="28" t="s">
        <v>100</v>
      </c>
      <c r="F107" s="27"/>
      <c r="G107" s="27"/>
      <c r="H107"/>
      <c r="I107" s="30">
        <v>0</v>
      </c>
      <c r="J107" s="35">
        <v>534.84</v>
      </c>
      <c r="K107" s="35">
        <v>800</v>
      </c>
      <c r="L107" s="32">
        <f>J107/K107</f>
        <v>0.66855000000000009</v>
      </c>
    </row>
    <row r="108" spans="1:12" x14ac:dyDescent="0.25">
      <c r="A108" s="2"/>
      <c r="B108" s="2"/>
      <c r="C108" s="2"/>
      <c r="D108" s="27"/>
      <c r="E108" s="28" t="s">
        <v>101</v>
      </c>
      <c r="F108" s="27"/>
      <c r="G108" s="27"/>
      <c r="H108"/>
      <c r="I108" s="35">
        <v>0</v>
      </c>
      <c r="J108" s="35">
        <v>0</v>
      </c>
      <c r="K108" s="35"/>
      <c r="L108" s="32"/>
    </row>
    <row r="109" spans="1:12" x14ac:dyDescent="0.25">
      <c r="A109" s="2"/>
      <c r="B109" s="2"/>
      <c r="C109" s="2"/>
      <c r="D109" s="27"/>
      <c r="E109" s="27"/>
      <c r="F109" s="28" t="s">
        <v>102</v>
      </c>
      <c r="G109" s="27"/>
      <c r="H109"/>
      <c r="I109" s="35">
        <v>0</v>
      </c>
      <c r="J109" s="35">
        <v>10057</v>
      </c>
      <c r="K109" s="35">
        <v>11920</v>
      </c>
      <c r="L109" s="32">
        <f>J109/K109</f>
        <v>0.84370805369127522</v>
      </c>
    </row>
    <row r="110" spans="1:12" x14ac:dyDescent="0.25">
      <c r="A110" s="2"/>
      <c r="B110" s="2"/>
      <c r="C110" s="2"/>
      <c r="D110" s="27"/>
      <c r="E110" s="27"/>
      <c r="F110" s="28" t="s">
        <v>103</v>
      </c>
      <c r="G110" s="27"/>
      <c r="H110"/>
      <c r="I110" s="35">
        <v>0</v>
      </c>
      <c r="J110" s="35">
        <v>3411</v>
      </c>
      <c r="K110" s="35">
        <v>1990</v>
      </c>
      <c r="L110" s="32">
        <f>J110/K110</f>
        <v>1.7140703517587941</v>
      </c>
    </row>
    <row r="111" spans="1:12" x14ac:dyDescent="0.25">
      <c r="A111" s="2"/>
      <c r="B111" s="2"/>
      <c r="C111" s="2"/>
      <c r="D111" s="27"/>
      <c r="E111" s="27"/>
      <c r="F111" s="28" t="s">
        <v>104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105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106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107</v>
      </c>
      <c r="G114" s="27"/>
      <c r="H114"/>
      <c r="I114" s="35">
        <v>0</v>
      </c>
      <c r="J114" s="35">
        <v>0</v>
      </c>
      <c r="K114" s="35"/>
      <c r="L114" s="32"/>
    </row>
    <row r="115" spans="1:12" x14ac:dyDescent="0.25">
      <c r="A115" s="2"/>
      <c r="B115" s="2"/>
      <c r="C115" s="2"/>
      <c r="D115" s="27"/>
      <c r="E115" s="27"/>
      <c r="F115" s="28" t="s">
        <v>108</v>
      </c>
      <c r="G115" s="27"/>
      <c r="H115"/>
      <c r="I115" s="35">
        <v>0</v>
      </c>
      <c r="J115" s="35">
        <v>0</v>
      </c>
      <c r="K115" s="35"/>
      <c r="L115" s="32"/>
    </row>
    <row r="116" spans="1:12" ht="28.9" customHeight="1" x14ac:dyDescent="0.25">
      <c r="A116" s="2"/>
      <c r="B116" s="2"/>
      <c r="C116" s="2"/>
      <c r="D116" s="27"/>
      <c r="E116" s="27"/>
      <c r="F116" s="28" t="s">
        <v>109</v>
      </c>
      <c r="G116" s="27"/>
      <c r="H116"/>
      <c r="I116" s="35"/>
      <c r="J116" s="35"/>
      <c r="K116" s="35"/>
      <c r="L116" s="32"/>
    </row>
    <row r="117" spans="1:12" x14ac:dyDescent="0.25">
      <c r="A117" s="2"/>
      <c r="B117" s="2"/>
      <c r="C117" s="2"/>
      <c r="D117" s="27"/>
      <c r="E117" s="27"/>
      <c r="F117" s="27"/>
      <c r="G117" s="28" t="s">
        <v>110</v>
      </c>
      <c r="H117"/>
      <c r="I117" s="35">
        <v>0</v>
      </c>
      <c r="J117" s="35">
        <v>0</v>
      </c>
      <c r="K117" s="35"/>
      <c r="L117" s="32"/>
    </row>
    <row r="118" spans="1:12" x14ac:dyDescent="0.25">
      <c r="A118" s="2"/>
      <c r="B118" s="2"/>
      <c r="C118" s="2"/>
      <c r="D118" s="27"/>
      <c r="E118" s="27"/>
      <c r="F118" s="28" t="s">
        <v>111</v>
      </c>
      <c r="G118" s="27"/>
      <c r="H118"/>
      <c r="I118" s="39">
        <f>I117</f>
        <v>0</v>
      </c>
      <c r="J118" s="39">
        <f>J117</f>
        <v>0</v>
      </c>
      <c r="K118" s="39"/>
      <c r="L118" s="38"/>
    </row>
    <row r="119" spans="1:12" x14ac:dyDescent="0.25">
      <c r="A119" s="2"/>
      <c r="B119" s="2"/>
      <c r="C119" s="2"/>
      <c r="D119" s="27"/>
      <c r="E119" s="27"/>
      <c r="F119" s="27"/>
      <c r="G119" s="28" t="s">
        <v>112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113</v>
      </c>
      <c r="H120"/>
      <c r="I120" s="35">
        <v>0</v>
      </c>
      <c r="J120" s="35">
        <v>0</v>
      </c>
      <c r="K120" s="35"/>
      <c r="L120" s="32"/>
    </row>
    <row r="121" spans="1:12" x14ac:dyDescent="0.25">
      <c r="A121" s="2"/>
      <c r="B121" s="2"/>
      <c r="C121" s="2"/>
      <c r="D121" s="27"/>
      <c r="E121" s="27"/>
      <c r="F121" s="27"/>
      <c r="G121" s="28" t="s">
        <v>114</v>
      </c>
      <c r="H121"/>
      <c r="I121" s="35">
        <v>0</v>
      </c>
      <c r="J121" s="35">
        <v>0</v>
      </c>
      <c r="K121" s="35">
        <v>750</v>
      </c>
      <c r="L121" s="32">
        <f>J121/K121</f>
        <v>0</v>
      </c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115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/>
      <c r="H123" s="28" t="s">
        <v>116</v>
      </c>
      <c r="I123" s="35">
        <v>0</v>
      </c>
      <c r="J123" s="35">
        <v>0</v>
      </c>
      <c r="K123" s="35"/>
      <c r="L123" s="32"/>
    </row>
    <row r="124" spans="1:12" x14ac:dyDescent="0.25">
      <c r="A124" s="2"/>
      <c r="B124" s="2"/>
      <c r="C124" s="2"/>
      <c r="D124" s="27"/>
      <c r="E124" s="27"/>
      <c r="F124" s="27"/>
      <c r="G124" s="28" t="s">
        <v>117</v>
      </c>
      <c r="H124"/>
      <c r="I124" s="39">
        <f>SUM(I121:I123)</f>
        <v>0</v>
      </c>
      <c r="J124" s="39">
        <f>SUM(J121:J123)</f>
        <v>0</v>
      </c>
      <c r="K124" s="39">
        <f>SUM(K121:K123)</f>
        <v>750</v>
      </c>
      <c r="L124" s="38">
        <f>J124/K124</f>
        <v>0</v>
      </c>
    </row>
    <row r="125" spans="1:12" ht="28.9" customHeight="1" x14ac:dyDescent="0.25">
      <c r="A125" s="2"/>
      <c r="B125" s="2"/>
      <c r="C125" s="2"/>
      <c r="D125" s="27"/>
      <c r="E125" s="27"/>
      <c r="F125" s="28" t="s">
        <v>118</v>
      </c>
      <c r="G125" s="27"/>
      <c r="H125"/>
      <c r="I125" s="35"/>
      <c r="J125" s="35"/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119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120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121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122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123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124</v>
      </c>
      <c r="H131"/>
      <c r="I131" s="35">
        <v>0</v>
      </c>
      <c r="J131" s="35">
        <v>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434</v>
      </c>
      <c r="H132"/>
      <c r="I132" s="35">
        <v>0</v>
      </c>
      <c r="J132" s="35">
        <v>2200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437</v>
      </c>
      <c r="H133"/>
      <c r="I133" s="35">
        <v>0</v>
      </c>
      <c r="J133" s="35">
        <v>486</v>
      </c>
      <c r="K133" s="35"/>
      <c r="L133" s="32"/>
    </row>
    <row r="134" spans="1:12" x14ac:dyDescent="0.25">
      <c r="A134" s="2"/>
      <c r="B134" s="2"/>
      <c r="C134" s="2"/>
      <c r="D134" s="27"/>
      <c r="E134" s="27"/>
      <c r="F134" s="27"/>
      <c r="G134" s="28" t="s">
        <v>125</v>
      </c>
      <c r="H134"/>
      <c r="I134" s="35">
        <v>0</v>
      </c>
      <c r="J134" s="35">
        <v>0</v>
      </c>
      <c r="K134" s="35">
        <v>1744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7"/>
      <c r="G135" s="28" t="s">
        <v>126</v>
      </c>
      <c r="H135"/>
      <c r="I135" s="35">
        <v>0</v>
      </c>
      <c r="J135" s="35">
        <v>0</v>
      </c>
      <c r="K135" s="35">
        <v>318</v>
      </c>
      <c r="L135" s="32">
        <f>J135/K135</f>
        <v>0</v>
      </c>
    </row>
    <row r="136" spans="1:12" x14ac:dyDescent="0.25">
      <c r="A136" s="2"/>
      <c r="B136" s="2"/>
      <c r="C136" s="2"/>
      <c r="D136" s="27"/>
      <c r="E136" s="27"/>
      <c r="F136" s="28" t="s">
        <v>127</v>
      </c>
      <c r="G136" s="27"/>
      <c r="H136"/>
      <c r="I136" s="35">
        <f>SUM(I126:I135)</f>
        <v>0</v>
      </c>
      <c r="J136" s="60">
        <f>SUM(J126:J135)</f>
        <v>2686</v>
      </c>
      <c r="K136" s="60">
        <f>SUM(K134:K135)</f>
        <v>2062</v>
      </c>
      <c r="L136" s="32">
        <f>J136/K136</f>
        <v>1.3026188166828323</v>
      </c>
    </row>
    <row r="137" spans="1:12" x14ac:dyDescent="0.25">
      <c r="A137" s="2"/>
      <c r="B137" s="2"/>
      <c r="C137" s="2"/>
      <c r="D137" s="27"/>
      <c r="E137" s="27"/>
      <c r="F137" s="28" t="s">
        <v>128</v>
      </c>
      <c r="G137" s="27"/>
      <c r="H137"/>
      <c r="I137" s="35">
        <v>0</v>
      </c>
      <c r="J137" s="35">
        <v>0</v>
      </c>
      <c r="K137" s="35"/>
      <c r="L137" s="32"/>
    </row>
    <row r="138" spans="1:12" x14ac:dyDescent="0.25">
      <c r="A138" s="2"/>
      <c r="B138" s="2"/>
      <c r="C138" s="2"/>
      <c r="D138" s="27"/>
      <c r="E138" s="27"/>
      <c r="F138" s="17" t="s">
        <v>129</v>
      </c>
      <c r="G138" s="27"/>
      <c r="H138"/>
      <c r="I138" s="35">
        <v>0</v>
      </c>
      <c r="J138" s="35">
        <v>0</v>
      </c>
      <c r="K138" s="35">
        <v>6052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7"/>
      <c r="F139" s="17" t="s">
        <v>130</v>
      </c>
      <c r="G139" s="27"/>
      <c r="H139"/>
      <c r="I139" s="35">
        <v>0</v>
      </c>
      <c r="J139" s="35">
        <v>0</v>
      </c>
      <c r="K139" s="35">
        <v>1032</v>
      </c>
      <c r="L139" s="32">
        <f>J139/K139</f>
        <v>0</v>
      </c>
    </row>
    <row r="140" spans="1:12" x14ac:dyDescent="0.25">
      <c r="A140" s="2"/>
      <c r="B140" s="2"/>
      <c r="C140" s="2"/>
      <c r="D140" s="27"/>
      <c r="E140" s="28" t="s">
        <v>131</v>
      </c>
      <c r="F140" s="27"/>
      <c r="G140" s="27"/>
      <c r="H140"/>
      <c r="I140" s="39">
        <f>SUM(I109:I115, I118:I120, I124, I136:I139)</f>
        <v>0</v>
      </c>
      <c r="J140" s="39">
        <f>SUM(J109:J115, J118:J120, J124, J136:J139)</f>
        <v>16154</v>
      </c>
      <c r="K140" s="39">
        <f>SUM(K109:K115, K118:K120, K124, K136:K139)</f>
        <v>23806</v>
      </c>
      <c r="L140" s="38">
        <f>J140/K140</f>
        <v>0.67856842812736284</v>
      </c>
    </row>
    <row r="141" spans="1:12" x14ac:dyDescent="0.25">
      <c r="A141" s="2"/>
      <c r="B141" s="2"/>
      <c r="C141" s="2"/>
      <c r="D141" s="27"/>
      <c r="F141" s="27"/>
      <c r="G141" s="27"/>
      <c r="H141"/>
      <c r="I141" s="35"/>
      <c r="J141" s="35"/>
      <c r="K141" s="35"/>
      <c r="L141" s="32"/>
    </row>
    <row r="142" spans="1:12" ht="28.9" customHeight="1" x14ac:dyDescent="0.25">
      <c r="A142" s="2"/>
      <c r="B142" s="2"/>
      <c r="C142" s="2"/>
      <c r="D142" s="27"/>
      <c r="E142" s="28" t="s">
        <v>132</v>
      </c>
      <c r="F142" s="27"/>
      <c r="G142" s="27"/>
      <c r="H142"/>
      <c r="I142" s="35">
        <v>0</v>
      </c>
      <c r="J142" s="35">
        <v>0</v>
      </c>
      <c r="K142" s="35">
        <v>175</v>
      </c>
      <c r="L142" s="38">
        <f>J142/K142</f>
        <v>0</v>
      </c>
    </row>
    <row r="143" spans="1:12" x14ac:dyDescent="0.25">
      <c r="A143" s="2"/>
      <c r="B143" s="2"/>
      <c r="C143" s="2"/>
      <c r="D143" s="28" t="s">
        <v>133</v>
      </c>
      <c r="F143" s="27"/>
      <c r="G143" s="27"/>
      <c r="H143"/>
      <c r="I143" s="39">
        <f>I13+I20+I27+I42+I49+I91+I105+I107+I140+I142+I28</f>
        <v>3792.4199999999996</v>
      </c>
      <c r="J143" s="39">
        <f>J13+J20+J27+J42+J49+J91+J105+J107+J140+J142+J28</f>
        <v>101236.18</v>
      </c>
      <c r="K143" s="39">
        <f>K13+K20+K27+K42+K49+K91+K105+K107+K140+K142+K28</f>
        <v>164303</v>
      </c>
      <c r="L143" s="38">
        <f>J143/K143</f>
        <v>0.61615539582356982</v>
      </c>
    </row>
    <row r="144" spans="1:12" ht="28.9" customHeight="1" x14ac:dyDescent="0.25">
      <c r="A144" s="2"/>
      <c r="B144" s="2"/>
      <c r="C144" s="28" t="s">
        <v>134</v>
      </c>
      <c r="D144" s="27"/>
      <c r="F144" s="27"/>
      <c r="G144" s="27"/>
      <c r="H144"/>
      <c r="I144" s="40">
        <f>I143</f>
        <v>3792.4199999999996</v>
      </c>
      <c r="J144" s="40">
        <f>J143</f>
        <v>101236.18</v>
      </c>
      <c r="K144" s="40">
        <f>K143</f>
        <v>164303</v>
      </c>
      <c r="L144" s="41">
        <f>L143</f>
        <v>0.61615539582356982</v>
      </c>
    </row>
    <row r="145" spans="1:12" ht="28.9" customHeight="1" x14ac:dyDescent="0.25">
      <c r="A145" s="2"/>
      <c r="B145" s="2"/>
      <c r="C145" s="2"/>
      <c r="D145" s="27"/>
      <c r="E145" s="27"/>
      <c r="F145" s="27"/>
      <c r="G145" s="27"/>
      <c r="I145" s="35"/>
      <c r="J145" s="35"/>
      <c r="K145" s="35"/>
      <c r="L145" s="35"/>
    </row>
    <row r="146" spans="1:12" x14ac:dyDescent="0.25">
      <c r="A146" s="2"/>
      <c r="B146" s="2"/>
      <c r="C146" s="2"/>
      <c r="D146" s="28" t="s">
        <v>135</v>
      </c>
      <c r="E146" s="27"/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8" t="s">
        <v>136</v>
      </c>
      <c r="F147" s="27"/>
      <c r="G147" s="27"/>
      <c r="H147"/>
      <c r="I147" s="35"/>
      <c r="J147" s="35"/>
      <c r="K147" s="35"/>
      <c r="L147" s="32"/>
    </row>
    <row r="148" spans="1:12" ht="28.9" customHeight="1" x14ac:dyDescent="0.25">
      <c r="A148" s="2"/>
      <c r="B148" s="2"/>
      <c r="C148" s="2"/>
      <c r="D148" s="27"/>
      <c r="E148" s="27"/>
      <c r="F148" s="28" t="s">
        <v>137</v>
      </c>
      <c r="G148" s="27"/>
      <c r="H148"/>
      <c r="I148" s="35"/>
      <c r="J148" s="35"/>
      <c r="K148" s="35"/>
      <c r="L148" s="32"/>
    </row>
    <row r="149" spans="1:12" x14ac:dyDescent="0.25">
      <c r="A149" s="2"/>
      <c r="B149" s="2"/>
      <c r="C149" s="2"/>
      <c r="D149" s="27"/>
      <c r="E149" s="27"/>
      <c r="F149" s="27"/>
      <c r="G149" s="28" t="s">
        <v>138</v>
      </c>
      <c r="H149"/>
      <c r="I149" s="35">
        <v>0</v>
      </c>
      <c r="J149" s="35">
        <v>73</v>
      </c>
      <c r="K149" s="35">
        <v>150</v>
      </c>
      <c r="L149" s="32">
        <f>J149/K149</f>
        <v>0.48666666666666669</v>
      </c>
    </row>
    <row r="150" spans="1:12" x14ac:dyDescent="0.25">
      <c r="A150" s="2"/>
      <c r="B150" s="2"/>
      <c r="C150" s="2"/>
      <c r="D150" s="27"/>
      <c r="E150" s="27"/>
      <c r="F150" s="27"/>
      <c r="G150" s="28" t="s">
        <v>139</v>
      </c>
      <c r="H150"/>
      <c r="I150" s="35">
        <v>0</v>
      </c>
      <c r="J150" s="35">
        <v>0</v>
      </c>
      <c r="K150" s="35">
        <v>250</v>
      </c>
      <c r="L150" s="32">
        <f>J150/K150</f>
        <v>0</v>
      </c>
    </row>
    <row r="151" spans="1:12" x14ac:dyDescent="0.25">
      <c r="A151" s="2"/>
      <c r="B151" s="2"/>
      <c r="C151" s="2"/>
      <c r="D151" s="27"/>
      <c r="E151" s="27"/>
      <c r="F151" s="28" t="s">
        <v>140</v>
      </c>
      <c r="G151" s="27"/>
      <c r="H151"/>
      <c r="I151" s="39">
        <f>SUM(I148:I150)</f>
        <v>0</v>
      </c>
      <c r="J151" s="39">
        <f>SUM(J148:J150)</f>
        <v>73</v>
      </c>
      <c r="K151" s="39">
        <f>SUM(K148:K150)</f>
        <v>400</v>
      </c>
      <c r="L151" s="38">
        <f>J151/K151</f>
        <v>0.1825</v>
      </c>
    </row>
    <row r="152" spans="1:12" x14ac:dyDescent="0.25">
      <c r="A152" s="2"/>
      <c r="B152" s="2"/>
      <c r="C152" s="2"/>
      <c r="D152" s="27"/>
      <c r="E152" s="27"/>
      <c r="F152" s="28" t="s">
        <v>141</v>
      </c>
      <c r="G152" s="27"/>
      <c r="H152"/>
      <c r="I152" s="35"/>
      <c r="J152" s="35"/>
      <c r="K152" s="35"/>
      <c r="L152" s="32"/>
    </row>
    <row r="153" spans="1:12" x14ac:dyDescent="0.25">
      <c r="A153" s="2"/>
      <c r="B153" s="2"/>
      <c r="C153" s="2"/>
      <c r="D153" s="27"/>
      <c r="E153" s="27"/>
      <c r="F153"/>
      <c r="G153" s="28" t="s">
        <v>142</v>
      </c>
      <c r="H153"/>
      <c r="I153" s="35">
        <v>0</v>
      </c>
      <c r="J153" s="35">
        <v>67.510000000000005</v>
      </c>
      <c r="K153" s="35">
        <v>65</v>
      </c>
      <c r="L153" s="32">
        <f>J153/K153</f>
        <v>1.0386153846153847</v>
      </c>
    </row>
    <row r="154" spans="1:12" x14ac:dyDescent="0.25">
      <c r="A154" s="2"/>
      <c r="B154" s="2"/>
      <c r="C154" s="2"/>
      <c r="D154" s="27"/>
      <c r="E154" s="27"/>
      <c r="F154"/>
      <c r="G154" s="28" t="s">
        <v>143</v>
      </c>
      <c r="H154"/>
      <c r="I154" s="35">
        <v>50</v>
      </c>
      <c r="J154" s="35">
        <v>300</v>
      </c>
      <c r="K154" s="35">
        <v>600</v>
      </c>
      <c r="L154" s="32">
        <f>J154/K154</f>
        <v>0.5</v>
      </c>
    </row>
    <row r="155" spans="1:12" x14ac:dyDescent="0.25">
      <c r="A155" s="2"/>
      <c r="B155" s="2"/>
      <c r="C155" s="2"/>
      <c r="D155" s="27"/>
      <c r="E155" s="27"/>
      <c r="F155"/>
      <c r="G155" s="28" t="s">
        <v>144</v>
      </c>
      <c r="H155"/>
      <c r="I155" s="35">
        <v>15.31</v>
      </c>
      <c r="J155" s="35">
        <v>91.86</v>
      </c>
      <c r="K155" s="35">
        <v>184</v>
      </c>
      <c r="L155" s="32">
        <f>J155/K155</f>
        <v>0.49923913043478263</v>
      </c>
    </row>
    <row r="156" spans="1:12" x14ac:dyDescent="0.25">
      <c r="A156" s="2"/>
      <c r="B156" s="2"/>
      <c r="C156" s="2"/>
      <c r="D156" s="27"/>
      <c r="E156" s="27"/>
      <c r="F156"/>
      <c r="G156" s="28" t="s">
        <v>145</v>
      </c>
      <c r="H156"/>
      <c r="I156" s="35">
        <v>0</v>
      </c>
      <c r="J156" s="35">
        <v>0</v>
      </c>
      <c r="K156" s="35">
        <v>300</v>
      </c>
      <c r="L156" s="32">
        <f>J156/K156</f>
        <v>0</v>
      </c>
    </row>
    <row r="157" spans="1:12" ht="28.9" customHeight="1" x14ac:dyDescent="0.25">
      <c r="A157" s="2"/>
      <c r="B157" s="2"/>
      <c r="C157" s="2"/>
      <c r="D157" s="27"/>
      <c r="E157" s="27"/>
      <c r="F157" s="28" t="s">
        <v>146</v>
      </c>
      <c r="G157" s="27"/>
      <c r="H157"/>
      <c r="I157" s="39">
        <f>SUM(I152:I156)</f>
        <v>65.31</v>
      </c>
      <c r="J157" s="39">
        <f>SUM(J152:J156)</f>
        <v>459.37</v>
      </c>
      <c r="K157" s="39">
        <f>SUM(K152:K156)</f>
        <v>1149</v>
      </c>
      <c r="L157" s="38">
        <f>J157/K157</f>
        <v>0.39979982593559615</v>
      </c>
    </row>
    <row r="158" spans="1:12" x14ac:dyDescent="0.25">
      <c r="A158" s="2"/>
      <c r="B158" s="2"/>
      <c r="C158" s="2"/>
      <c r="D158" s="27"/>
      <c r="E158" s="27"/>
      <c r="F158" s="28" t="s">
        <v>147</v>
      </c>
      <c r="G158" s="27"/>
      <c r="H158"/>
      <c r="I158" s="35"/>
      <c r="J158" s="35"/>
      <c r="K158" s="35"/>
      <c r="L158" s="32"/>
    </row>
    <row r="159" spans="1:12" x14ac:dyDescent="0.25">
      <c r="A159" s="2"/>
      <c r="B159" s="2"/>
      <c r="C159" s="2"/>
      <c r="D159" s="27"/>
      <c r="E159" s="27"/>
      <c r="F159" s="27"/>
      <c r="G159" s="28" t="s">
        <v>148</v>
      </c>
      <c r="H159"/>
      <c r="I159" s="35">
        <v>0</v>
      </c>
      <c r="J159" s="35">
        <v>607.5</v>
      </c>
      <c r="K159" s="35">
        <v>2100</v>
      </c>
      <c r="L159" s="32">
        <f t="shared" ref="L159:L164" si="9">J159/K159</f>
        <v>0.28928571428571431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149</v>
      </c>
      <c r="H160"/>
      <c r="I160" s="35">
        <v>750</v>
      </c>
      <c r="J160" s="35">
        <v>1500</v>
      </c>
      <c r="K160" s="35">
        <v>3000</v>
      </c>
      <c r="L160" s="32">
        <f t="shared" si="9"/>
        <v>0.5</v>
      </c>
    </row>
    <row r="161" spans="1:15" x14ac:dyDescent="0.25">
      <c r="A161" s="2"/>
      <c r="B161" s="2"/>
      <c r="C161" s="2"/>
      <c r="D161" s="27"/>
      <c r="E161" s="27"/>
      <c r="F161" s="27"/>
      <c r="G161" s="28" t="s">
        <v>150</v>
      </c>
      <c r="H161"/>
      <c r="I161" s="35">
        <v>760</v>
      </c>
      <c r="J161" s="35">
        <v>1660</v>
      </c>
      <c r="K161" s="35">
        <v>4530</v>
      </c>
      <c r="L161" s="32">
        <f t="shared" si="9"/>
        <v>0.36644591611479027</v>
      </c>
    </row>
    <row r="162" spans="1:15" ht="28.9" customHeight="1" x14ac:dyDescent="0.25">
      <c r="A162" s="2"/>
      <c r="B162" s="2"/>
      <c r="C162" s="2"/>
      <c r="D162" s="27"/>
      <c r="E162" s="27"/>
      <c r="F162" s="27"/>
      <c r="G162" s="28" t="s">
        <v>151</v>
      </c>
      <c r="H162"/>
      <c r="I162" s="35">
        <v>0</v>
      </c>
      <c r="J162" s="35">
        <v>198</v>
      </c>
      <c r="K162" s="35">
        <v>198</v>
      </c>
      <c r="L162" s="32">
        <f t="shared" si="9"/>
        <v>1</v>
      </c>
    </row>
    <row r="163" spans="1:15" x14ac:dyDescent="0.25">
      <c r="A163" s="2"/>
      <c r="B163" s="2"/>
      <c r="C163" s="2"/>
      <c r="D163" s="27"/>
      <c r="E163" s="27"/>
      <c r="F163" s="27"/>
      <c r="G163" s="28" t="s">
        <v>152</v>
      </c>
      <c r="H163"/>
      <c r="I163" s="35">
        <v>0</v>
      </c>
      <c r="J163" s="35">
        <v>0</v>
      </c>
      <c r="K163" s="35">
        <v>325</v>
      </c>
      <c r="L163" s="32">
        <f t="shared" si="9"/>
        <v>0</v>
      </c>
    </row>
    <row r="164" spans="1:15" x14ac:dyDescent="0.25">
      <c r="A164" s="2"/>
      <c r="B164" s="2"/>
      <c r="C164" s="2"/>
      <c r="D164" s="27"/>
      <c r="E164" s="27"/>
      <c r="F164" s="28" t="s">
        <v>153</v>
      </c>
      <c r="G164" s="27"/>
      <c r="H164"/>
      <c r="I164" s="39">
        <f>SUM(I159:I163)</f>
        <v>1510</v>
      </c>
      <c r="J164" s="39">
        <f>SUM(J159:J163)</f>
        <v>3965.5</v>
      </c>
      <c r="K164" s="39">
        <f>SUM(K159:K163)</f>
        <v>10153</v>
      </c>
      <c r="L164" s="38">
        <f t="shared" si="9"/>
        <v>0.39057421451787649</v>
      </c>
    </row>
    <row r="165" spans="1:15" x14ac:dyDescent="0.25">
      <c r="A165" s="2"/>
      <c r="B165" s="2"/>
      <c r="C165" s="2"/>
      <c r="D165" s="27"/>
      <c r="E165" s="27"/>
      <c r="F165" s="28" t="s">
        <v>154</v>
      </c>
      <c r="G165" s="27"/>
      <c r="H165"/>
      <c r="I165" s="35"/>
      <c r="J165" s="35"/>
      <c r="K165" s="35"/>
      <c r="L165" s="32"/>
    </row>
    <row r="166" spans="1:15" x14ac:dyDescent="0.25">
      <c r="A166" s="2"/>
      <c r="B166" s="2"/>
      <c r="C166" s="2"/>
      <c r="D166" s="27"/>
      <c r="E166" s="27"/>
      <c r="G166" s="27" t="s">
        <v>155</v>
      </c>
      <c r="H166"/>
      <c r="I166" s="35">
        <v>0</v>
      </c>
      <c r="J166" s="35">
        <v>0</v>
      </c>
      <c r="K166" s="35">
        <v>600</v>
      </c>
      <c r="L166" s="32">
        <f>J166/K166</f>
        <v>0</v>
      </c>
    </row>
    <row r="167" spans="1:15" x14ac:dyDescent="0.25">
      <c r="A167" s="2"/>
      <c r="B167" s="2"/>
      <c r="C167" s="2"/>
      <c r="D167" s="27"/>
      <c r="E167" s="27"/>
      <c r="F167" s="28" t="s">
        <v>156</v>
      </c>
      <c r="G167" s="27"/>
      <c r="H167"/>
      <c r="I167" s="35"/>
      <c r="J167" s="35"/>
      <c r="K167" s="35"/>
      <c r="L167" s="32"/>
    </row>
    <row r="168" spans="1:15" x14ac:dyDescent="0.25">
      <c r="A168" s="2"/>
      <c r="B168" s="2"/>
      <c r="C168" s="2"/>
      <c r="D168" s="27"/>
      <c r="E168" s="27"/>
      <c r="F168" s="27"/>
      <c r="G168" s="28" t="s">
        <v>157</v>
      </c>
      <c r="H168"/>
      <c r="I168" s="35">
        <v>0</v>
      </c>
      <c r="J168" s="35">
        <v>2400</v>
      </c>
      <c r="K168" s="35">
        <v>4800</v>
      </c>
      <c r="L168" s="32">
        <f>J168/K168</f>
        <v>0.5</v>
      </c>
    </row>
    <row r="169" spans="1:15" x14ac:dyDescent="0.25">
      <c r="A169" s="2"/>
      <c r="B169" s="2"/>
      <c r="C169" s="2"/>
      <c r="D169" s="27"/>
      <c r="E169" s="27"/>
      <c r="F169" s="27"/>
      <c r="G169" s="28" t="s">
        <v>158</v>
      </c>
      <c r="H169"/>
      <c r="I169" s="35"/>
      <c r="J169" s="35"/>
      <c r="K169" s="35"/>
      <c r="L169" s="32"/>
    </row>
    <row r="170" spans="1:15" x14ac:dyDescent="0.25">
      <c r="A170" s="2"/>
      <c r="B170" s="2"/>
      <c r="C170" s="2"/>
      <c r="D170" s="27"/>
      <c r="E170" s="27"/>
      <c r="F170" s="27"/>
      <c r="G170"/>
      <c r="H170" s="28" t="s">
        <v>159</v>
      </c>
      <c r="I170" s="35">
        <v>15.31</v>
      </c>
      <c r="J170" s="35">
        <v>91.86</v>
      </c>
      <c r="K170" s="35">
        <v>184</v>
      </c>
      <c r="L170" s="32">
        <f>J170/K170</f>
        <v>0.49923913043478263</v>
      </c>
    </row>
    <row r="171" spans="1:15" ht="28.9" customHeight="1" x14ac:dyDescent="0.25">
      <c r="A171" s="2"/>
      <c r="B171" s="2"/>
      <c r="C171" s="2"/>
      <c r="D171" s="27"/>
      <c r="E171" s="27"/>
      <c r="F171" s="27"/>
      <c r="G171"/>
      <c r="H171" s="28" t="s">
        <v>160</v>
      </c>
      <c r="I171" s="35">
        <v>0</v>
      </c>
      <c r="J171" s="35">
        <v>1225</v>
      </c>
      <c r="K171" s="35">
        <v>2600</v>
      </c>
      <c r="L171" s="32">
        <f>J171/K171</f>
        <v>0.47115384615384615</v>
      </c>
    </row>
    <row r="172" spans="1:15" x14ac:dyDescent="0.25">
      <c r="A172" s="2"/>
      <c r="B172" s="2"/>
      <c r="C172" s="2"/>
      <c r="D172" s="27"/>
      <c r="E172" s="27"/>
      <c r="F172"/>
      <c r="G172" s="28" t="s">
        <v>161</v>
      </c>
      <c r="H172"/>
      <c r="I172" s="39">
        <f>SUM(I169:I171)</f>
        <v>15.31</v>
      </c>
      <c r="J172" s="39">
        <f>SUM(J169:J171)</f>
        <v>1316.86</v>
      </c>
      <c r="K172" s="39">
        <f>SUM(K170:K171)</f>
        <v>2784</v>
      </c>
      <c r="L172" s="38">
        <f t="shared" ref="L172" si="10">J172/K172</f>
        <v>0.47301005747126434</v>
      </c>
    </row>
    <row r="173" spans="1:15" x14ac:dyDescent="0.25">
      <c r="A173" s="2"/>
      <c r="B173" s="2"/>
      <c r="C173" s="2"/>
      <c r="D173" s="27"/>
      <c r="E173" s="27"/>
      <c r="F173"/>
      <c r="H173"/>
      <c r="I173" s="35"/>
      <c r="J173" s="35"/>
      <c r="K173" s="35"/>
      <c r="L173" s="32"/>
    </row>
    <row r="174" spans="1:15" x14ac:dyDescent="0.25">
      <c r="A174" s="2"/>
      <c r="B174" s="2"/>
      <c r="C174" s="2"/>
      <c r="D174" s="27"/>
      <c r="E174" s="27"/>
      <c r="F174"/>
      <c r="G174" s="28" t="s">
        <v>162</v>
      </c>
      <c r="H174"/>
      <c r="I174" s="35">
        <v>0</v>
      </c>
      <c r="J174" s="35">
        <v>0</v>
      </c>
      <c r="K174" s="35">
        <v>360</v>
      </c>
      <c r="L174" s="32">
        <f>J174/K174</f>
        <v>0</v>
      </c>
    </row>
    <row r="175" spans="1:15" x14ac:dyDescent="0.25">
      <c r="A175" s="2"/>
      <c r="B175" s="2"/>
      <c r="C175" s="2"/>
      <c r="D175" s="27"/>
      <c r="E175" s="27"/>
      <c r="F175" s="28" t="s">
        <v>163</v>
      </c>
      <c r="G175" s="27"/>
      <c r="H175"/>
      <c r="I175" s="39">
        <f>I168+I172+I174</f>
        <v>15.31</v>
      </c>
      <c r="J175" s="39">
        <f>J168+J172+J174</f>
        <v>3716.8599999999997</v>
      </c>
      <c r="K175" s="39">
        <f>K168+K172+K174</f>
        <v>7944</v>
      </c>
      <c r="L175" s="38">
        <f t="shared" ref="L175" si="11">J175/K175</f>
        <v>0.46788267875125877</v>
      </c>
    </row>
    <row r="176" spans="1:15" x14ac:dyDescent="0.25">
      <c r="A176" s="2"/>
      <c r="B176" s="2"/>
      <c r="C176" s="2"/>
      <c r="D176" s="27"/>
      <c r="E176" s="27"/>
      <c r="F176" s="28" t="s">
        <v>164</v>
      </c>
      <c r="G176" s="27"/>
      <c r="H176"/>
      <c r="I176" s="35">
        <v>300</v>
      </c>
      <c r="J176" s="35">
        <v>600</v>
      </c>
      <c r="K176" s="35">
        <v>1200</v>
      </c>
      <c r="L176" s="32">
        <f>J176/K176</f>
        <v>0.5</v>
      </c>
      <c r="O176" s="62"/>
    </row>
    <row r="177" spans="1:12" x14ac:dyDescent="0.25">
      <c r="A177" s="2"/>
      <c r="B177" s="2"/>
      <c r="C177" s="2"/>
      <c r="D177" s="27"/>
      <c r="E177" s="27"/>
      <c r="F177" s="28" t="s">
        <v>165</v>
      </c>
      <c r="G177" s="27"/>
      <c r="H177"/>
      <c r="I177" s="35"/>
      <c r="J177" s="35"/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166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167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168</v>
      </c>
      <c r="H180"/>
      <c r="I180" s="35">
        <v>0</v>
      </c>
      <c r="J180" s="35">
        <v>0</v>
      </c>
      <c r="K180" s="35">
        <v>22.35</v>
      </c>
      <c r="L180" s="32"/>
    </row>
    <row r="181" spans="1:12" ht="28.9" customHeight="1" x14ac:dyDescent="0.25">
      <c r="A181" s="2"/>
      <c r="B181" s="2"/>
      <c r="C181" s="2"/>
      <c r="D181" s="27"/>
      <c r="E181" s="27"/>
      <c r="F181" s="27"/>
      <c r="G181" s="28" t="s">
        <v>169</v>
      </c>
      <c r="H181"/>
      <c r="I181" s="35">
        <v>0</v>
      </c>
      <c r="J181" s="35">
        <v>0</v>
      </c>
      <c r="K181" s="35">
        <v>90</v>
      </c>
      <c r="L181" s="32">
        <f>J181/K181</f>
        <v>0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170</v>
      </c>
      <c r="H182"/>
      <c r="I182" s="35">
        <v>0</v>
      </c>
      <c r="J182" s="35">
        <v>0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171</v>
      </c>
      <c r="H183"/>
      <c r="I183" s="35">
        <v>0</v>
      </c>
      <c r="J183" s="35">
        <v>44.85</v>
      </c>
      <c r="K183" s="35"/>
      <c r="L183" s="32"/>
    </row>
    <row r="184" spans="1:12" x14ac:dyDescent="0.25">
      <c r="A184" s="2"/>
      <c r="B184" s="2"/>
      <c r="C184" s="2"/>
      <c r="D184" s="27"/>
      <c r="E184" s="27"/>
      <c r="F184" s="27"/>
      <c r="G184" s="28" t="s">
        <v>172</v>
      </c>
      <c r="H184"/>
      <c r="I184" s="35">
        <v>0</v>
      </c>
      <c r="J184" s="35">
        <v>0</v>
      </c>
      <c r="K184" s="35">
        <v>45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173</v>
      </c>
      <c r="H185"/>
      <c r="I185" s="35">
        <v>0</v>
      </c>
      <c r="J185" s="35">
        <v>0</v>
      </c>
      <c r="K185" s="35"/>
      <c r="L185" s="32"/>
    </row>
    <row r="186" spans="1:12" x14ac:dyDescent="0.25">
      <c r="A186" s="2"/>
      <c r="B186" s="2"/>
      <c r="C186" s="2"/>
      <c r="D186" s="27"/>
      <c r="E186" s="27"/>
      <c r="F186" s="27"/>
      <c r="G186" s="28" t="s">
        <v>174</v>
      </c>
      <c r="H186"/>
      <c r="I186" s="35">
        <v>0</v>
      </c>
      <c r="J186" s="35">
        <v>0</v>
      </c>
      <c r="K186" s="35">
        <v>45</v>
      </c>
      <c r="L186" s="32">
        <f>J186/K186</f>
        <v>0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430</v>
      </c>
      <c r="H187"/>
      <c r="I187" s="35">
        <v>0</v>
      </c>
      <c r="J187" s="35">
        <v>1299.9000000000001</v>
      </c>
      <c r="K187" s="35">
        <v>1337</v>
      </c>
      <c r="L187" s="32">
        <f>J187/K187</f>
        <v>0.97225130890052358</v>
      </c>
    </row>
    <row r="188" spans="1:12" x14ac:dyDescent="0.25">
      <c r="A188" s="2"/>
      <c r="B188" s="2"/>
      <c r="C188" s="2"/>
      <c r="D188" s="27"/>
      <c r="E188" s="27"/>
      <c r="F188" s="27"/>
      <c r="G188" s="28" t="s">
        <v>431</v>
      </c>
      <c r="H188"/>
      <c r="I188" s="35">
        <v>0</v>
      </c>
      <c r="J188" s="35">
        <v>0</v>
      </c>
      <c r="K188" s="35"/>
      <c r="L188" s="32"/>
    </row>
    <row r="189" spans="1:12" ht="28.9" customHeight="1" x14ac:dyDescent="0.25">
      <c r="A189" s="2"/>
      <c r="B189" s="2"/>
      <c r="C189" s="2"/>
      <c r="D189" s="27"/>
      <c r="E189" s="27"/>
      <c r="F189" s="28" t="s">
        <v>175</v>
      </c>
      <c r="G189" s="27"/>
      <c r="H189"/>
      <c r="I189" s="39">
        <f>SUM(I178:I188)</f>
        <v>0</v>
      </c>
      <c r="J189" s="39">
        <f>SUM(J178:J188)</f>
        <v>1344.75</v>
      </c>
      <c r="K189" s="39">
        <f>SUM(K178:K188)</f>
        <v>1539.35</v>
      </c>
      <c r="L189" s="38">
        <f>J189/K189</f>
        <v>0.87358300581414239</v>
      </c>
    </row>
    <row r="190" spans="1:12" ht="28.9" customHeight="1" x14ac:dyDescent="0.25">
      <c r="A190" s="2"/>
      <c r="B190" s="2"/>
      <c r="C190" s="2"/>
      <c r="D190" s="27"/>
      <c r="E190" s="27"/>
      <c r="F190"/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8" t="s">
        <v>176</v>
      </c>
      <c r="G191" s="27"/>
      <c r="H191"/>
      <c r="I191" s="35"/>
      <c r="J191" s="35"/>
      <c r="K191" s="35"/>
      <c r="L191" s="32"/>
    </row>
    <row r="192" spans="1:12" x14ac:dyDescent="0.25">
      <c r="A192" s="2"/>
      <c r="B192" s="2"/>
      <c r="C192" s="2"/>
      <c r="D192" s="27"/>
      <c r="E192" s="27"/>
      <c r="F192" s="27"/>
      <c r="G192" s="28" t="s">
        <v>177</v>
      </c>
      <c r="H192"/>
      <c r="I192" s="35">
        <v>0</v>
      </c>
      <c r="J192" s="35">
        <v>0</v>
      </c>
      <c r="K192" s="35">
        <v>65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178</v>
      </c>
      <c r="H193"/>
      <c r="I193" s="35">
        <v>0</v>
      </c>
      <c r="J193" s="35">
        <v>0</v>
      </c>
      <c r="K193" s="35">
        <v>50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179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/>
      <c r="G195" s="28" t="s">
        <v>180</v>
      </c>
      <c r="H195"/>
      <c r="I195" s="35">
        <v>0</v>
      </c>
      <c r="J195" s="35">
        <v>0</v>
      </c>
      <c r="K195" s="35">
        <v>500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181</v>
      </c>
      <c r="G196" s="27"/>
      <c r="I196" s="39">
        <f>SUM(I192:I195)</f>
        <v>0</v>
      </c>
      <c r="J196" s="39">
        <f>SUM(J192:J195)</f>
        <v>0</v>
      </c>
      <c r="K196" s="39">
        <f>SUM(K192:K195)</f>
        <v>1115</v>
      </c>
      <c r="L196" s="38">
        <f t="shared" ref="L196:L200" si="12">J196/K196</f>
        <v>0</v>
      </c>
    </row>
    <row r="197" spans="1:12" x14ac:dyDescent="0.25">
      <c r="A197" s="2"/>
      <c r="B197" s="2"/>
      <c r="C197" s="2"/>
      <c r="D197" s="27"/>
      <c r="E197" s="27"/>
      <c r="F197" s="27" t="s">
        <v>182</v>
      </c>
      <c r="G197" s="27"/>
      <c r="I197" s="35"/>
      <c r="J197" s="35"/>
      <c r="K197" s="35"/>
      <c r="L197" s="32"/>
    </row>
    <row r="198" spans="1:12" x14ac:dyDescent="0.25">
      <c r="A198" s="2"/>
      <c r="B198" s="2"/>
      <c r="C198" s="2"/>
      <c r="D198" s="27"/>
      <c r="E198" s="27"/>
      <c r="F198" s="27"/>
      <c r="G198" s="27" t="s">
        <v>183</v>
      </c>
      <c r="I198" s="35">
        <v>0</v>
      </c>
      <c r="J198" s="35">
        <v>0</v>
      </c>
      <c r="K198" s="35">
        <v>100</v>
      </c>
      <c r="L198" s="32">
        <f>J198/K198</f>
        <v>0</v>
      </c>
    </row>
    <row r="199" spans="1:12" x14ac:dyDescent="0.25">
      <c r="A199" s="2"/>
      <c r="B199" s="2"/>
      <c r="C199" s="2"/>
      <c r="D199" s="27"/>
      <c r="E199" s="27"/>
      <c r="F199" s="27" t="s">
        <v>184</v>
      </c>
      <c r="G199" s="27"/>
      <c r="I199" s="39">
        <f t="shared" ref="I199:J199" si="13">I198</f>
        <v>0</v>
      </c>
      <c r="J199" s="39">
        <f t="shared" si="13"/>
        <v>0</v>
      </c>
      <c r="K199" s="39">
        <f>K198</f>
        <v>100</v>
      </c>
      <c r="L199" s="38">
        <f t="shared" si="12"/>
        <v>0</v>
      </c>
    </row>
    <row r="200" spans="1:12" x14ac:dyDescent="0.25">
      <c r="A200" s="2"/>
      <c r="B200" s="2"/>
      <c r="C200" s="2"/>
      <c r="D200" s="27"/>
      <c r="E200" s="28" t="s">
        <v>185</v>
      </c>
      <c r="F200" s="27"/>
      <c r="G200" s="27"/>
      <c r="H200"/>
      <c r="I200" s="39">
        <f>I199+I196+I189+I175+I164+I157+I151+I166+I176</f>
        <v>1890.62</v>
      </c>
      <c r="J200" s="39">
        <f>J199+J196+J189+J175+J164+J157+J151+J1602+J176</f>
        <v>10159.480000000001</v>
      </c>
      <c r="K200" s="39">
        <f>K199+K196+K189+K175+K176+K164+K157+K151+K166</f>
        <v>24200.35</v>
      </c>
      <c r="L200" s="38">
        <f t="shared" si="12"/>
        <v>0.41980715154946113</v>
      </c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8" t="s">
        <v>186</v>
      </c>
      <c r="F203" s="27"/>
      <c r="G203" s="27"/>
      <c r="H203"/>
      <c r="I203" s="35"/>
      <c r="J203" s="35"/>
      <c r="K203" s="35"/>
      <c r="L203" s="32"/>
    </row>
    <row r="204" spans="1:12" x14ac:dyDescent="0.25">
      <c r="A204" s="2"/>
      <c r="B204" s="2"/>
      <c r="C204" s="2"/>
      <c r="D204" s="27"/>
      <c r="E204" s="27"/>
      <c r="F204" s="28" t="s">
        <v>187</v>
      </c>
      <c r="G204" s="27"/>
      <c r="H204"/>
      <c r="I204" s="35">
        <v>0</v>
      </c>
      <c r="J204" s="35">
        <v>0</v>
      </c>
      <c r="K204" s="35"/>
      <c r="L204" s="32"/>
    </row>
    <row r="205" spans="1:12" ht="28.9" customHeight="1" x14ac:dyDescent="0.25">
      <c r="A205" s="2"/>
      <c r="B205" s="2"/>
      <c r="C205" s="2"/>
      <c r="D205" s="27"/>
      <c r="E205" s="27"/>
      <c r="F205" s="27"/>
      <c r="G205" s="28" t="s">
        <v>188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189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190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191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7"/>
      <c r="G209" s="28" t="s">
        <v>192</v>
      </c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193</v>
      </c>
      <c r="G210" s="27"/>
      <c r="H210"/>
      <c r="I210" s="39">
        <f>SUM(I204:I209)</f>
        <v>0</v>
      </c>
      <c r="J210" s="39">
        <f>SUM(J204:J209)</f>
        <v>0</v>
      </c>
      <c r="K210" s="39"/>
      <c r="L210" s="32"/>
    </row>
    <row r="211" spans="1:12" ht="28.9" customHeight="1" x14ac:dyDescent="0.25">
      <c r="A211" s="2"/>
      <c r="B211" s="2"/>
      <c r="C211" s="2"/>
      <c r="D211" s="27"/>
      <c r="E211" s="27"/>
      <c r="F211" s="28" t="s">
        <v>194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195</v>
      </c>
      <c r="G212" s="27"/>
      <c r="H212"/>
      <c r="I212" s="35">
        <v>0</v>
      </c>
      <c r="J212" s="35">
        <v>0</v>
      </c>
      <c r="K212" s="35"/>
      <c r="L212" s="32"/>
    </row>
    <row r="213" spans="1:12" x14ac:dyDescent="0.25">
      <c r="A213" s="2"/>
      <c r="B213" s="2"/>
      <c r="C213" s="2"/>
      <c r="D213" s="27"/>
      <c r="E213" s="27"/>
      <c r="F213" s="28" t="s">
        <v>196</v>
      </c>
      <c r="G213" s="27"/>
      <c r="H213"/>
      <c r="I213" s="35">
        <v>0</v>
      </c>
      <c r="J213" s="35">
        <v>0</v>
      </c>
      <c r="K213" s="35">
        <v>800</v>
      </c>
      <c r="L213" s="32">
        <f>J213/K213</f>
        <v>0</v>
      </c>
    </row>
    <row r="214" spans="1:12" x14ac:dyDescent="0.25">
      <c r="A214" s="2"/>
      <c r="B214" s="2"/>
      <c r="C214" s="2"/>
      <c r="D214" s="27"/>
      <c r="E214" s="27"/>
      <c r="F214" s="28" t="s">
        <v>197</v>
      </c>
      <c r="G214" s="27"/>
      <c r="H214"/>
      <c r="I214" s="35">
        <v>0</v>
      </c>
      <c r="J214" s="35">
        <v>0</v>
      </c>
      <c r="K214" s="35"/>
      <c r="L214" s="32"/>
    </row>
    <row r="215" spans="1:12" x14ac:dyDescent="0.25">
      <c r="A215" s="2"/>
      <c r="B215" s="2"/>
      <c r="C215" s="2"/>
      <c r="D215" s="27"/>
      <c r="E215" s="27"/>
      <c r="F215" s="28" t="s">
        <v>198</v>
      </c>
      <c r="G215" s="27"/>
      <c r="H215"/>
      <c r="I215" s="35">
        <v>0</v>
      </c>
      <c r="J215" s="35">
        <v>421.34100000000001</v>
      </c>
      <c r="K215" s="35">
        <v>500</v>
      </c>
      <c r="L215" s="32">
        <f>J215/K215</f>
        <v>0.84268200000000004</v>
      </c>
    </row>
    <row r="216" spans="1:12" x14ac:dyDescent="0.25">
      <c r="A216" s="2"/>
      <c r="B216" s="2"/>
      <c r="C216" s="2"/>
      <c r="D216" s="27"/>
      <c r="E216" s="27"/>
      <c r="F216" s="28" t="s">
        <v>199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200</v>
      </c>
      <c r="G217" s="27"/>
      <c r="H217"/>
      <c r="I217" s="35">
        <v>0</v>
      </c>
      <c r="J217" s="35">
        <v>0</v>
      </c>
      <c r="K217" s="35">
        <v>156</v>
      </c>
      <c r="L217" s="32">
        <f>J217/K217</f>
        <v>0</v>
      </c>
    </row>
    <row r="218" spans="1:12" x14ac:dyDescent="0.25">
      <c r="A218" s="2"/>
      <c r="B218" s="2"/>
      <c r="C218" s="2"/>
      <c r="D218" s="27"/>
      <c r="E218" s="27"/>
      <c r="F218" s="28" t="s">
        <v>201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202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203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204</v>
      </c>
      <c r="G221" s="27"/>
      <c r="H221"/>
      <c r="I221" s="35">
        <v>0</v>
      </c>
      <c r="J221" s="35">
        <v>0</v>
      </c>
      <c r="K221" s="35">
        <v>250</v>
      </c>
      <c r="L221" s="32">
        <f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205</v>
      </c>
      <c r="G222" s="27"/>
      <c r="H222"/>
      <c r="I222" s="35">
        <v>0</v>
      </c>
      <c r="J222" s="35">
        <v>0</v>
      </c>
      <c r="K222" s="35">
        <v>100</v>
      </c>
      <c r="L222" s="32">
        <f t="shared" ref="L222" si="14">J222/K222</f>
        <v>0</v>
      </c>
    </row>
    <row r="223" spans="1:12" x14ac:dyDescent="0.25">
      <c r="A223" s="2"/>
      <c r="B223" s="2"/>
      <c r="C223" s="2"/>
      <c r="D223" s="27"/>
      <c r="E223" s="27"/>
      <c r="F223" s="28" t="s">
        <v>206</v>
      </c>
      <c r="G223" s="27"/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8" t="s">
        <v>207</v>
      </c>
      <c r="G224" s="27"/>
      <c r="H224"/>
      <c r="I224" s="35"/>
      <c r="J224" s="35"/>
      <c r="K224" s="35"/>
      <c r="L224" s="32"/>
    </row>
    <row r="225" spans="1:12" x14ac:dyDescent="0.25">
      <c r="A225" s="2"/>
      <c r="B225" s="2"/>
      <c r="C225" s="2"/>
      <c r="D225" s="27"/>
      <c r="E225" s="27"/>
      <c r="F225" s="27"/>
      <c r="G225" s="28" t="s">
        <v>208</v>
      </c>
      <c r="H225"/>
      <c r="I225" s="35">
        <v>0</v>
      </c>
      <c r="J225" s="35">
        <v>0</v>
      </c>
      <c r="K225" s="35"/>
      <c r="L225" s="32"/>
    </row>
    <row r="226" spans="1:12" ht="28.9" customHeight="1" x14ac:dyDescent="0.25">
      <c r="A226" s="2"/>
      <c r="B226" s="2"/>
      <c r="C226" s="2"/>
      <c r="D226" s="27"/>
      <c r="E226" s="27"/>
      <c r="F226" s="27"/>
      <c r="G226" s="28" t="s">
        <v>209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7"/>
      <c r="G227" s="28" t="s">
        <v>210</v>
      </c>
      <c r="H227"/>
      <c r="I227" s="35">
        <v>0</v>
      </c>
      <c r="J227" s="35">
        <v>0</v>
      </c>
      <c r="K227" s="35"/>
      <c r="L227" s="32"/>
    </row>
    <row r="228" spans="1:12" x14ac:dyDescent="0.25">
      <c r="A228" s="2"/>
      <c r="B228" s="2"/>
      <c r="C228" s="2"/>
      <c r="D228" s="27"/>
      <c r="E228" s="27"/>
      <c r="F228" s="28" t="s">
        <v>211</v>
      </c>
      <c r="G228" s="27"/>
      <c r="H228"/>
      <c r="I228" s="39">
        <f>SUM(I225:I227)</f>
        <v>0</v>
      </c>
      <c r="J228" s="39">
        <f>SUM(J225:J227)</f>
        <v>0</v>
      </c>
      <c r="K228" s="39"/>
      <c r="L228" s="38"/>
    </row>
    <row r="229" spans="1:12" x14ac:dyDescent="0.25">
      <c r="A229" s="2"/>
      <c r="B229" s="2"/>
      <c r="C229" s="2"/>
      <c r="D229" s="27"/>
      <c r="E229" s="27"/>
      <c r="F229" s="28" t="s">
        <v>212</v>
      </c>
      <c r="G229" s="27"/>
      <c r="H229"/>
      <c r="I229" s="35"/>
      <c r="J229" s="35"/>
      <c r="K229" s="35"/>
      <c r="L229" s="32"/>
    </row>
    <row r="230" spans="1:12" x14ac:dyDescent="0.25">
      <c r="A230" s="2"/>
      <c r="B230" s="2"/>
      <c r="C230" s="2"/>
      <c r="D230" s="27"/>
      <c r="E230" s="27"/>
      <c r="G230" s="28" t="s">
        <v>213</v>
      </c>
      <c r="H230"/>
      <c r="I230" s="35">
        <v>0</v>
      </c>
      <c r="J230" s="35">
        <v>300</v>
      </c>
      <c r="K230" s="35">
        <v>300</v>
      </c>
      <c r="L230" s="32">
        <f>J230/K230</f>
        <v>1</v>
      </c>
    </row>
    <row r="231" spans="1:12" x14ac:dyDescent="0.25">
      <c r="A231" s="2"/>
      <c r="B231" s="2"/>
      <c r="C231" s="2"/>
      <c r="D231" s="27"/>
      <c r="E231" s="27"/>
      <c r="F231" s="27"/>
      <c r="G231" s="28" t="s">
        <v>214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215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216</v>
      </c>
      <c r="H233"/>
      <c r="I233" s="35">
        <v>0</v>
      </c>
      <c r="J233" s="35">
        <v>0</v>
      </c>
      <c r="K233" s="35"/>
      <c r="L233" s="32"/>
    </row>
    <row r="234" spans="1:12" x14ac:dyDescent="0.25">
      <c r="A234" s="2"/>
      <c r="B234" s="2"/>
      <c r="C234" s="2"/>
      <c r="D234" s="27"/>
      <c r="E234" s="27"/>
      <c r="F234" s="28" t="s">
        <v>217</v>
      </c>
      <c r="G234" s="27"/>
      <c r="H234"/>
      <c r="I234" s="39">
        <f>SUM(I230:I233)</f>
        <v>0</v>
      </c>
      <c r="J234" s="39">
        <f>SUM(J230:J233)</f>
        <v>300</v>
      </c>
      <c r="K234" s="39">
        <f>SUM(K230:K233)</f>
        <v>300</v>
      </c>
      <c r="L234" s="38">
        <f>J234/K234</f>
        <v>1</v>
      </c>
    </row>
    <row r="235" spans="1:12" x14ac:dyDescent="0.25">
      <c r="A235" s="2"/>
      <c r="B235" s="2"/>
      <c r="C235" s="2"/>
      <c r="D235" s="27"/>
      <c r="E235" s="27"/>
      <c r="F235" s="28" t="s">
        <v>218</v>
      </c>
      <c r="G235" s="27"/>
      <c r="H235"/>
      <c r="I235" s="35"/>
      <c r="J235" s="35"/>
      <c r="K235" s="35"/>
      <c r="L235" s="32"/>
    </row>
    <row r="236" spans="1:12" x14ac:dyDescent="0.25">
      <c r="A236" s="2"/>
      <c r="B236" s="2"/>
      <c r="C236" s="2"/>
      <c r="D236" s="27"/>
      <c r="E236" s="27"/>
      <c r="F236" s="27"/>
      <c r="G236" s="28" t="s">
        <v>219</v>
      </c>
      <c r="H236"/>
      <c r="I236" s="35">
        <v>0</v>
      </c>
      <c r="J236" s="35">
        <v>904.99</v>
      </c>
      <c r="K236" s="35">
        <v>1000</v>
      </c>
      <c r="L236" s="32">
        <f>J236/K236</f>
        <v>0.90498999999999996</v>
      </c>
    </row>
    <row r="237" spans="1:12" x14ac:dyDescent="0.25">
      <c r="A237" s="2"/>
      <c r="B237" s="2"/>
      <c r="C237" s="2"/>
      <c r="D237" s="27"/>
      <c r="E237" s="27"/>
      <c r="F237" s="27"/>
      <c r="G237" s="28" t="s">
        <v>220</v>
      </c>
      <c r="H237"/>
      <c r="I237" s="35">
        <v>0</v>
      </c>
      <c r="J237" s="35">
        <v>0</v>
      </c>
      <c r="K237" s="35"/>
      <c r="L237" s="32"/>
    </row>
    <row r="238" spans="1:12" x14ac:dyDescent="0.25">
      <c r="A238" s="2"/>
      <c r="B238" s="2"/>
      <c r="C238" s="2"/>
      <c r="D238" s="27"/>
      <c r="E238" s="27"/>
      <c r="F238" s="28" t="s">
        <v>221</v>
      </c>
      <c r="G238" s="27"/>
      <c r="H238"/>
      <c r="I238" s="39">
        <f>SUM(I236:I237)</f>
        <v>0</v>
      </c>
      <c r="J238" s="39">
        <f>SUM(J236:J237)</f>
        <v>904.99</v>
      </c>
      <c r="K238" s="39">
        <f>SUM(K236:K237)</f>
        <v>1000</v>
      </c>
      <c r="L238" s="38">
        <f>J238/K238</f>
        <v>0.90498999999999996</v>
      </c>
    </row>
    <row r="239" spans="1:12" x14ac:dyDescent="0.25">
      <c r="A239" s="2"/>
      <c r="B239" s="2"/>
      <c r="C239" s="2"/>
      <c r="D239" s="27"/>
      <c r="E239" s="27"/>
      <c r="F239" s="28" t="s">
        <v>222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7"/>
      <c r="G240" s="28" t="s">
        <v>223</v>
      </c>
      <c r="H240"/>
      <c r="I240" s="35">
        <v>0</v>
      </c>
      <c r="J240" s="35">
        <v>0</v>
      </c>
      <c r="K240" s="35">
        <v>500</v>
      </c>
      <c r="L240" s="32">
        <f>J240/K240</f>
        <v>0</v>
      </c>
    </row>
    <row r="241" spans="1:12" x14ac:dyDescent="0.25">
      <c r="A241" s="2"/>
      <c r="B241" s="2"/>
      <c r="C241" s="2"/>
      <c r="D241" s="27"/>
      <c r="E241" s="27"/>
      <c r="F241" s="28" t="s">
        <v>224</v>
      </c>
      <c r="G241" s="27"/>
      <c r="H241"/>
      <c r="I241" s="39">
        <f>I240+I239</f>
        <v>0</v>
      </c>
      <c r="J241" s="39">
        <f>J240+J239</f>
        <v>0</v>
      </c>
      <c r="K241" s="39">
        <f>K240</f>
        <v>500</v>
      </c>
      <c r="L241" s="38">
        <v>0</v>
      </c>
    </row>
    <row r="242" spans="1:12" x14ac:dyDescent="0.25">
      <c r="A242" s="2"/>
      <c r="B242" s="2"/>
      <c r="C242" s="2"/>
      <c r="D242" s="27"/>
      <c r="E242" s="27"/>
      <c r="F242" s="42" t="s">
        <v>225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226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227</v>
      </c>
      <c r="G244" s="27"/>
      <c r="H244"/>
      <c r="I244" s="35">
        <v>0</v>
      </c>
      <c r="J244" s="35">
        <v>0</v>
      </c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228</v>
      </c>
      <c r="G245"/>
      <c r="H245"/>
      <c r="I245" s="35">
        <v>0</v>
      </c>
      <c r="J245" s="35">
        <v>33.340000000000003</v>
      </c>
      <c r="K245" s="35">
        <v>500</v>
      </c>
      <c r="L245" s="32">
        <f>J245/K245</f>
        <v>6.6680000000000003E-2</v>
      </c>
    </row>
    <row r="246" spans="1:12" ht="28.9" customHeight="1" x14ac:dyDescent="0.25">
      <c r="A246" s="2"/>
      <c r="B246" s="2"/>
      <c r="C246" s="2"/>
      <c r="D246" s="27"/>
      <c r="E246" s="28" t="s">
        <v>229</v>
      </c>
      <c r="F246" s="27"/>
      <c r="G246" s="27"/>
      <c r="H246"/>
      <c r="I246" s="39">
        <f>I210+I211++I212+I213+I214+I215+I216+I217+I218+I219+I221+I222+I223+I228+I234+I238+I241+I242+I243+I244+I245+I220</f>
        <v>0</v>
      </c>
      <c r="J246" s="39">
        <f>J210+J211++J212+J213+J214+J215+J216+J217+J218+J219+J221+J222+J223+J228+J234+J238+J241+J242+J243+J244+J245+J220</f>
        <v>1659.671</v>
      </c>
      <c r="K246" s="39">
        <f>K210+K211++K212+K213+K214+K215+K216+K217+K218+K219+K221+K222+K223+K228+K234+K238+K241+K242+K243+K244+K245</f>
        <v>4106</v>
      </c>
      <c r="L246" s="38">
        <f>J246/K246</f>
        <v>0.40420628348757914</v>
      </c>
    </row>
    <row r="247" spans="1:12" x14ac:dyDescent="0.25">
      <c r="A247" s="2"/>
      <c r="B247" s="2"/>
      <c r="C247" s="2"/>
      <c r="D247" s="27"/>
      <c r="E247" s="28" t="s">
        <v>230</v>
      </c>
      <c r="F247" s="27"/>
      <c r="G247" s="27"/>
      <c r="H247"/>
      <c r="I247" s="35"/>
      <c r="J247" s="35"/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231</v>
      </c>
      <c r="G248" s="27"/>
      <c r="H248"/>
      <c r="I248" s="56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232</v>
      </c>
      <c r="G249" s="27"/>
      <c r="H249"/>
      <c r="I249" s="56">
        <v>0</v>
      </c>
      <c r="J249" s="35">
        <v>0</v>
      </c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233</v>
      </c>
      <c r="G250" s="27"/>
      <c r="H250"/>
      <c r="I250" s="36">
        <v>0</v>
      </c>
      <c r="J250" s="36">
        <v>0</v>
      </c>
      <c r="K250" s="36"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234</v>
      </c>
      <c r="F251" s="27"/>
      <c r="G251" s="27"/>
      <c r="H251"/>
      <c r="I251" s="35">
        <f>SUM(I248:I250)</f>
        <v>0</v>
      </c>
      <c r="J251" s="35">
        <f>SUM(J248:J250)</f>
        <v>0</v>
      </c>
      <c r="K251" s="35">
        <f>SUM(K248:K250)</f>
        <v>100</v>
      </c>
      <c r="L251" s="32">
        <f>J251/K251</f>
        <v>0</v>
      </c>
    </row>
    <row r="252" spans="1:12" x14ac:dyDescent="0.25">
      <c r="A252" s="2"/>
      <c r="B252" s="2"/>
      <c r="C252" s="2"/>
      <c r="D252" s="27"/>
      <c r="E252" s="28" t="s">
        <v>235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236</v>
      </c>
      <c r="G253" s="27"/>
      <c r="H253"/>
      <c r="I253" s="35">
        <v>0</v>
      </c>
      <c r="J253" s="35">
        <v>0</v>
      </c>
      <c r="K253" s="35">
        <v>1200</v>
      </c>
      <c r="L253" s="32">
        <f>J253/K253</f>
        <v>0</v>
      </c>
    </row>
    <row r="254" spans="1:12" ht="28.9" customHeight="1" x14ac:dyDescent="0.25">
      <c r="A254" s="2"/>
      <c r="B254" s="2"/>
      <c r="C254" s="2"/>
      <c r="D254" s="27"/>
      <c r="E254" s="28" t="s">
        <v>237</v>
      </c>
      <c r="F254"/>
      <c r="G254" s="27"/>
      <c r="H254"/>
      <c r="I254" s="39">
        <f t="shared" ref="I254:J254" si="15">I253</f>
        <v>0</v>
      </c>
      <c r="J254" s="39">
        <f t="shared" si="15"/>
        <v>0</v>
      </c>
      <c r="K254" s="39">
        <f>K253</f>
        <v>1200</v>
      </c>
      <c r="L254" s="38">
        <f>J254/K254</f>
        <v>0</v>
      </c>
    </row>
    <row r="255" spans="1:12" x14ac:dyDescent="0.25">
      <c r="A255" s="2"/>
      <c r="B255" s="2"/>
      <c r="C255" s="2"/>
      <c r="D255" s="27"/>
      <c r="E255" s="28" t="s">
        <v>238</v>
      </c>
      <c r="F255" s="27"/>
      <c r="G255" s="27"/>
      <c r="H255"/>
      <c r="I255" s="35"/>
      <c r="J255" s="35"/>
      <c r="K255" s="35"/>
      <c r="L255" s="32"/>
    </row>
    <row r="256" spans="1:12" x14ac:dyDescent="0.25">
      <c r="A256" s="2"/>
      <c r="B256" s="2"/>
      <c r="C256" s="2"/>
      <c r="D256" s="27"/>
      <c r="E256" s="27"/>
      <c r="F256" s="28" t="s">
        <v>239</v>
      </c>
      <c r="G256" s="27"/>
      <c r="H256"/>
      <c r="I256" s="35"/>
      <c r="J256" s="35"/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240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241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7"/>
      <c r="G259" s="28" t="s">
        <v>242</v>
      </c>
      <c r="H259"/>
      <c r="I259" s="35">
        <v>0</v>
      </c>
      <c r="J259" s="35">
        <v>0</v>
      </c>
      <c r="K259" s="35"/>
      <c r="L259" s="32"/>
    </row>
    <row r="260" spans="1:12" ht="28.9" customHeight="1" x14ac:dyDescent="0.25">
      <c r="A260" s="2"/>
      <c r="B260" s="2"/>
      <c r="C260" s="2"/>
      <c r="D260" s="27"/>
      <c r="E260" s="27"/>
      <c r="F260" s="27"/>
      <c r="G260" s="28" t="s">
        <v>243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7"/>
      <c r="G261" s="28" t="s">
        <v>244</v>
      </c>
      <c r="H261"/>
      <c r="I261" s="35">
        <v>0</v>
      </c>
      <c r="J261" s="35">
        <v>0</v>
      </c>
      <c r="K261" s="35"/>
      <c r="L261" s="32"/>
    </row>
    <row r="262" spans="1:12" x14ac:dyDescent="0.25">
      <c r="A262" s="2"/>
      <c r="B262" s="2"/>
      <c r="C262" s="2"/>
      <c r="D262" s="27"/>
      <c r="E262" s="27"/>
      <c r="F262" s="28" t="s">
        <v>245</v>
      </c>
      <c r="G262" s="27"/>
      <c r="H262"/>
      <c r="I262" s="39">
        <f>SUM(I257:I261)</f>
        <v>0</v>
      </c>
      <c r="J262" s="39">
        <f>SUM(J257:J261)</f>
        <v>0</v>
      </c>
      <c r="K262" s="39"/>
      <c r="L262" s="38"/>
    </row>
    <row r="263" spans="1:12" x14ac:dyDescent="0.25">
      <c r="A263" s="2"/>
      <c r="B263" s="2"/>
      <c r="C263" s="2"/>
      <c r="D263" s="27"/>
      <c r="E263" s="27"/>
      <c r="F263" s="28" t="s">
        <v>246</v>
      </c>
      <c r="G263" s="27"/>
      <c r="H263"/>
      <c r="I263" s="35"/>
      <c r="J263" s="35"/>
      <c r="K263" s="35">
        <v>1000</v>
      </c>
      <c r="L263" s="32">
        <f t="shared" ref="L263" si="16">J263/K263</f>
        <v>0</v>
      </c>
    </row>
    <row r="264" spans="1:12" x14ac:dyDescent="0.25">
      <c r="A264" s="2"/>
      <c r="B264" s="2"/>
      <c r="C264" s="2"/>
      <c r="D264" s="27"/>
      <c r="E264" s="27"/>
      <c r="F264" s="28" t="s">
        <v>247</v>
      </c>
      <c r="G264" s="27"/>
      <c r="H264"/>
      <c r="I264" s="35"/>
      <c r="J264" s="35"/>
      <c r="K264" s="35"/>
      <c r="L264" s="32"/>
    </row>
    <row r="265" spans="1:12" x14ac:dyDescent="0.25">
      <c r="A265" s="2"/>
      <c r="B265" s="2"/>
      <c r="C265" s="2"/>
      <c r="D265" s="27"/>
      <c r="E265" s="27"/>
      <c r="G265" s="27"/>
      <c r="H265" s="50" t="s">
        <v>248</v>
      </c>
      <c r="I265" s="35">
        <v>0</v>
      </c>
      <c r="J265" s="35">
        <v>0</v>
      </c>
      <c r="K265" s="35"/>
      <c r="L265" s="51"/>
    </row>
    <row r="266" spans="1:12" x14ac:dyDescent="0.25">
      <c r="A266" s="2"/>
      <c r="B266" s="2"/>
      <c r="C266" s="2"/>
      <c r="D266" s="27"/>
      <c r="E266" s="27"/>
      <c r="F266" s="27"/>
      <c r="G266" s="27"/>
      <c r="H266" s="28" t="s">
        <v>249</v>
      </c>
      <c r="I266" s="35">
        <v>9266</v>
      </c>
      <c r="J266" s="35">
        <v>55596</v>
      </c>
      <c r="K266" s="35">
        <v>111192</v>
      </c>
      <c r="L266" s="32">
        <f>J266/K266</f>
        <v>0.5</v>
      </c>
    </row>
    <row r="267" spans="1:12" ht="28.9" customHeight="1" x14ac:dyDescent="0.25">
      <c r="A267" s="2"/>
      <c r="B267" s="2"/>
      <c r="C267" s="2"/>
      <c r="D267" s="27"/>
      <c r="E267" s="27"/>
      <c r="F267" s="27"/>
      <c r="G267" s="27"/>
      <c r="H267" s="28" t="s">
        <v>250</v>
      </c>
      <c r="I267" s="35">
        <v>0</v>
      </c>
      <c r="J267" s="35">
        <v>0</v>
      </c>
      <c r="K267" s="35">
        <v>300</v>
      </c>
      <c r="L267" s="32">
        <f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251</v>
      </c>
      <c r="G268" s="27"/>
      <c r="H268"/>
      <c r="I268" s="39">
        <f>SUM(I265:I267)</f>
        <v>9266</v>
      </c>
      <c r="J268" s="39">
        <f>SUM(J265:J267)</f>
        <v>55596</v>
      </c>
      <c r="K268" s="39">
        <f>SUM(K265:K267)</f>
        <v>111492</v>
      </c>
      <c r="L268" s="38">
        <f>J268/K268</f>
        <v>0.49865461199009792</v>
      </c>
    </row>
    <row r="269" spans="1:12" x14ac:dyDescent="0.25">
      <c r="A269" s="2"/>
      <c r="B269" s="2"/>
      <c r="C269" s="2"/>
      <c r="D269" s="27"/>
      <c r="E269" s="27"/>
      <c r="F269" s="28" t="s">
        <v>252</v>
      </c>
      <c r="G269"/>
      <c r="H269"/>
      <c r="I269" s="35">
        <v>16.649999999999999</v>
      </c>
      <c r="J269" s="35">
        <v>20.190000000000001</v>
      </c>
      <c r="K269" s="35">
        <v>175</v>
      </c>
      <c r="L269" s="32">
        <f>J269/K269</f>
        <v>0.11537142857142858</v>
      </c>
    </row>
    <row r="270" spans="1:12" ht="28.9" customHeight="1" x14ac:dyDescent="0.25">
      <c r="A270" s="2"/>
      <c r="B270" s="2"/>
      <c r="C270" s="2"/>
      <c r="D270" s="27"/>
      <c r="E270" s="27"/>
      <c r="F270" s="28" t="s">
        <v>253</v>
      </c>
      <c r="G270"/>
      <c r="H270"/>
      <c r="I270" s="35">
        <v>0</v>
      </c>
      <c r="J270" s="35">
        <v>0</v>
      </c>
      <c r="K270" s="35">
        <v>165</v>
      </c>
      <c r="L270" s="32">
        <f t="shared" ref="L270:L277" si="17">J270/K270</f>
        <v>0</v>
      </c>
    </row>
    <row r="271" spans="1:12" x14ac:dyDescent="0.25">
      <c r="A271" s="2"/>
      <c r="B271" s="2"/>
      <c r="C271" s="2"/>
      <c r="D271" s="27"/>
      <c r="E271" s="27"/>
      <c r="F271" s="28" t="s">
        <v>254</v>
      </c>
      <c r="G271"/>
      <c r="H271"/>
      <c r="I271" s="35">
        <v>0</v>
      </c>
      <c r="J271" s="35">
        <v>0</v>
      </c>
      <c r="K271" s="35">
        <v>125</v>
      </c>
      <c r="L271" s="32">
        <f t="shared" si="17"/>
        <v>0</v>
      </c>
    </row>
    <row r="272" spans="1:12" x14ac:dyDescent="0.25">
      <c r="A272" s="2"/>
      <c r="B272" s="2"/>
      <c r="C272" s="2"/>
      <c r="D272" s="27"/>
      <c r="E272" s="27"/>
      <c r="F272" s="28" t="s">
        <v>255</v>
      </c>
      <c r="G272"/>
      <c r="H272"/>
      <c r="I272" s="35">
        <v>0</v>
      </c>
      <c r="J272" s="35">
        <v>50</v>
      </c>
      <c r="K272" s="35">
        <v>125</v>
      </c>
      <c r="L272" s="32">
        <f t="shared" si="17"/>
        <v>0.4</v>
      </c>
    </row>
    <row r="273" spans="1:12" x14ac:dyDescent="0.25">
      <c r="A273" s="2"/>
      <c r="B273" s="2"/>
      <c r="C273" s="2"/>
      <c r="D273" s="27"/>
      <c r="E273" s="27"/>
      <c r="F273" s="28" t="s">
        <v>256</v>
      </c>
      <c r="G273"/>
      <c r="H273"/>
      <c r="I273" s="35">
        <v>0</v>
      </c>
      <c r="J273" s="35">
        <v>0</v>
      </c>
      <c r="K273" s="35">
        <v>100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257</v>
      </c>
      <c r="G274"/>
      <c r="H274"/>
      <c r="I274" s="35">
        <v>0</v>
      </c>
      <c r="J274" s="35">
        <v>0</v>
      </c>
      <c r="K274" s="35">
        <v>500</v>
      </c>
      <c r="L274" s="32">
        <f t="shared" si="17"/>
        <v>0</v>
      </c>
    </row>
    <row r="275" spans="1:12" x14ac:dyDescent="0.25">
      <c r="A275" s="2"/>
      <c r="B275" s="2"/>
      <c r="C275" s="2"/>
      <c r="D275" s="27"/>
      <c r="E275" s="27"/>
      <c r="F275" s="28" t="s">
        <v>258</v>
      </c>
      <c r="G275"/>
      <c r="H275"/>
      <c r="I275" s="35">
        <v>52.88</v>
      </c>
      <c r="J275" s="35">
        <v>317.13</v>
      </c>
      <c r="K275" s="35">
        <v>650</v>
      </c>
      <c r="L275" s="32">
        <f t="shared" si="17"/>
        <v>0.48789230769230768</v>
      </c>
    </row>
    <row r="276" spans="1:12" x14ac:dyDescent="0.25">
      <c r="A276" s="2"/>
      <c r="B276" s="2"/>
      <c r="C276" s="2"/>
      <c r="D276" s="27"/>
      <c r="E276" s="27"/>
      <c r="F276" s="28" t="s">
        <v>259</v>
      </c>
      <c r="G276"/>
      <c r="H276"/>
      <c r="I276" s="35">
        <v>0</v>
      </c>
      <c r="J276" s="35">
        <v>0</v>
      </c>
      <c r="K276" s="35">
        <v>506</v>
      </c>
      <c r="L276" s="32">
        <f>J276/K276</f>
        <v>0</v>
      </c>
    </row>
    <row r="277" spans="1:12" x14ac:dyDescent="0.25">
      <c r="A277" s="2"/>
      <c r="B277" s="2"/>
      <c r="C277" s="2"/>
      <c r="D277" s="27"/>
      <c r="E277" s="27"/>
      <c r="F277" s="28" t="s">
        <v>260</v>
      </c>
      <c r="G277"/>
      <c r="H277"/>
      <c r="I277" s="35">
        <v>115</v>
      </c>
      <c r="J277" s="35">
        <v>690</v>
      </c>
      <c r="K277" s="35">
        <v>1380</v>
      </c>
      <c r="L277" s="32">
        <f t="shared" si="17"/>
        <v>0.5</v>
      </c>
    </row>
    <row r="278" spans="1:12" ht="28.9" customHeight="1" x14ac:dyDescent="0.25">
      <c r="A278" s="2"/>
      <c r="B278" s="2"/>
      <c r="C278" s="2"/>
      <c r="D278" s="27"/>
      <c r="E278" s="27"/>
      <c r="F278" s="28" t="s">
        <v>261</v>
      </c>
      <c r="G278" s="27"/>
      <c r="H278"/>
      <c r="I278" s="35"/>
      <c r="J278" s="35"/>
      <c r="K278" s="35"/>
      <c r="L278" s="32"/>
    </row>
    <row r="279" spans="1:12" x14ac:dyDescent="0.25">
      <c r="A279" s="2"/>
      <c r="B279" s="2"/>
      <c r="C279" s="2"/>
      <c r="D279" s="27"/>
      <c r="E279" s="27"/>
      <c r="F279" s="27"/>
      <c r="G279" s="28" t="s">
        <v>262</v>
      </c>
      <c r="H279"/>
      <c r="I279" s="35">
        <v>0.79</v>
      </c>
      <c r="J279" s="35">
        <v>4.26</v>
      </c>
      <c r="K279" s="35">
        <v>10</v>
      </c>
      <c r="L279" s="32">
        <f t="shared" ref="L279:L289" si="18">J279/K279</f>
        <v>0.42599999999999999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263</v>
      </c>
      <c r="H280"/>
      <c r="I280" s="35">
        <v>164.17</v>
      </c>
      <c r="J280" s="35">
        <v>985.06</v>
      </c>
      <c r="K280" s="35">
        <v>1300</v>
      </c>
      <c r="L280" s="32">
        <f t="shared" si="18"/>
        <v>0.75773846153846147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264</v>
      </c>
      <c r="H281"/>
      <c r="I281" s="35">
        <v>0</v>
      </c>
      <c r="J281" s="35">
        <v>490.42</v>
      </c>
      <c r="K281" s="35">
        <v>509</v>
      </c>
      <c r="L281" s="32">
        <f t="shared" si="18"/>
        <v>0.96349705304518662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265</v>
      </c>
      <c r="H282"/>
      <c r="I282" s="35">
        <v>115</v>
      </c>
      <c r="J282" s="35">
        <v>690</v>
      </c>
      <c r="K282" s="35">
        <v>1380</v>
      </c>
      <c r="L282" s="32">
        <f t="shared" si="18"/>
        <v>0.5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266</v>
      </c>
      <c r="H283"/>
      <c r="I283" s="35">
        <v>0</v>
      </c>
      <c r="J283" s="35">
        <v>67.510000000000005</v>
      </c>
      <c r="K283" s="35">
        <v>150</v>
      </c>
      <c r="L283" s="32">
        <f t="shared" si="18"/>
        <v>0.45006666666666673</v>
      </c>
    </row>
    <row r="284" spans="1:12" ht="28.9" customHeight="1" x14ac:dyDescent="0.25">
      <c r="A284" s="2"/>
      <c r="B284" s="2"/>
      <c r="C284" s="2"/>
      <c r="D284" s="27"/>
      <c r="E284" s="27"/>
      <c r="F284" s="27"/>
      <c r="G284" s="28" t="s">
        <v>267</v>
      </c>
      <c r="H284"/>
      <c r="I284" s="35">
        <v>0</v>
      </c>
      <c r="J284" s="35">
        <v>0</v>
      </c>
      <c r="K284" s="35">
        <v>250</v>
      </c>
      <c r="L284" s="32">
        <f t="shared" si="18"/>
        <v>0</v>
      </c>
    </row>
    <row r="285" spans="1:12" x14ac:dyDescent="0.25">
      <c r="A285" s="2"/>
      <c r="B285" s="2"/>
      <c r="C285" s="2"/>
      <c r="D285" s="27"/>
      <c r="E285" s="27"/>
      <c r="F285" s="27"/>
      <c r="G285" s="28" t="s">
        <v>268</v>
      </c>
      <c r="H285"/>
      <c r="I285" s="35">
        <v>425</v>
      </c>
      <c r="J285" s="35">
        <v>2550</v>
      </c>
      <c r="K285" s="35">
        <v>5100</v>
      </c>
      <c r="L285" s="32">
        <f>J285/K285</f>
        <v>0.5</v>
      </c>
    </row>
    <row r="286" spans="1:12" x14ac:dyDescent="0.25">
      <c r="A286" s="2"/>
      <c r="B286" s="2"/>
      <c r="C286" s="2"/>
      <c r="D286" s="27"/>
      <c r="E286" s="27"/>
      <c r="F286" s="28" t="s">
        <v>269</v>
      </c>
      <c r="G286" s="27"/>
      <c r="H286"/>
      <c r="I286" s="39">
        <f>SUM(I279:I285)</f>
        <v>704.96</v>
      </c>
      <c r="J286" s="39">
        <f>SUM(J279:J285)</f>
        <v>4787.25</v>
      </c>
      <c r="K286" s="39">
        <f>SUM(K279:K285)</f>
        <v>8699</v>
      </c>
      <c r="L286" s="38">
        <f>J286/K286</f>
        <v>0.5503218760777101</v>
      </c>
    </row>
    <row r="287" spans="1:12" x14ac:dyDescent="0.25">
      <c r="A287" s="2"/>
      <c r="B287" s="2"/>
      <c r="C287" s="2"/>
      <c r="D287" s="27"/>
      <c r="E287" s="27"/>
      <c r="F287" s="28" t="s">
        <v>270</v>
      </c>
      <c r="G287" s="27"/>
      <c r="H287"/>
      <c r="I287" s="35">
        <v>0</v>
      </c>
      <c r="J287" s="35">
        <v>10</v>
      </c>
      <c r="K287" s="35">
        <v>20</v>
      </c>
      <c r="L287" s="32">
        <f t="shared" si="18"/>
        <v>0.5</v>
      </c>
    </row>
    <row r="288" spans="1:12" x14ac:dyDescent="0.25">
      <c r="A288" s="2"/>
      <c r="B288" s="2"/>
      <c r="C288" s="2"/>
      <c r="D288" s="27"/>
      <c r="E288" s="27"/>
      <c r="F288" s="28" t="s">
        <v>271</v>
      </c>
      <c r="G288" s="27"/>
      <c r="H288"/>
      <c r="I288" s="35">
        <v>181.68</v>
      </c>
      <c r="J288" s="35">
        <v>1815.13</v>
      </c>
      <c r="K288" s="35">
        <v>3600</v>
      </c>
      <c r="L288" s="32">
        <f t="shared" si="18"/>
        <v>0.50420277777777778</v>
      </c>
    </row>
    <row r="289" spans="1:12" x14ac:dyDescent="0.25">
      <c r="A289" s="2"/>
      <c r="B289" s="2"/>
      <c r="C289" s="2"/>
      <c r="D289" s="27"/>
      <c r="E289" s="27"/>
      <c r="F289" s="28" t="s">
        <v>272</v>
      </c>
      <c r="G289" s="27"/>
      <c r="H289"/>
      <c r="I289" s="35">
        <v>142.16</v>
      </c>
      <c r="J289" s="35">
        <v>842.32</v>
      </c>
      <c r="K289" s="35">
        <v>1650</v>
      </c>
      <c r="L289" s="32">
        <f t="shared" si="18"/>
        <v>0.51049696969696978</v>
      </c>
    </row>
    <row r="290" spans="1:12" x14ac:dyDescent="0.25">
      <c r="A290" s="2"/>
      <c r="B290" s="2"/>
      <c r="C290" s="2"/>
      <c r="D290" s="27"/>
      <c r="E290" s="27"/>
      <c r="F290" s="28" t="s">
        <v>273</v>
      </c>
      <c r="G290" s="27"/>
      <c r="H290"/>
      <c r="I290" s="35">
        <v>0</v>
      </c>
      <c r="J290" s="35">
        <v>0</v>
      </c>
      <c r="K290" s="35">
        <v>1000</v>
      </c>
      <c r="L290" s="32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274</v>
      </c>
      <c r="G291" s="27"/>
      <c r="H291"/>
      <c r="I291" s="35"/>
      <c r="J291" s="35"/>
      <c r="K291" s="35"/>
      <c r="L291" s="32"/>
    </row>
    <row r="292" spans="1:12" x14ac:dyDescent="0.25">
      <c r="A292" s="2"/>
      <c r="B292" s="2"/>
      <c r="C292" s="2"/>
      <c r="D292" s="27"/>
      <c r="E292" s="27"/>
      <c r="F292" s="27"/>
      <c r="G292" s="28" t="s">
        <v>275</v>
      </c>
      <c r="H292"/>
      <c r="I292" s="35">
        <v>0</v>
      </c>
      <c r="J292" s="35">
        <v>0</v>
      </c>
      <c r="K292" s="35">
        <v>150</v>
      </c>
      <c r="L292" s="32">
        <f>J292/K292</f>
        <v>0</v>
      </c>
    </row>
    <row r="293" spans="1:12" x14ac:dyDescent="0.25">
      <c r="A293" s="2"/>
      <c r="B293" s="2"/>
      <c r="C293" s="2"/>
      <c r="D293" s="27"/>
      <c r="E293" s="27"/>
      <c r="F293" s="28" t="s">
        <v>276</v>
      </c>
      <c r="G293" s="27"/>
      <c r="H293"/>
      <c r="I293" s="39">
        <f>I292</f>
        <v>0</v>
      </c>
      <c r="J293" s="39">
        <f>J292</f>
        <v>0</v>
      </c>
      <c r="K293" s="39">
        <f>K292</f>
        <v>150</v>
      </c>
      <c r="L293" s="38">
        <f>J293/K293</f>
        <v>0</v>
      </c>
    </row>
    <row r="294" spans="1:12" x14ac:dyDescent="0.25">
      <c r="A294" s="2"/>
      <c r="B294" s="2"/>
      <c r="C294" s="2"/>
      <c r="D294" s="27"/>
      <c r="E294" s="27"/>
      <c r="F294" s="28" t="s">
        <v>277</v>
      </c>
      <c r="G294" s="27"/>
      <c r="H294"/>
      <c r="I294" s="35">
        <v>0</v>
      </c>
      <c r="J294" s="35">
        <v>0</v>
      </c>
      <c r="K294" s="35">
        <v>2000</v>
      </c>
      <c r="L294" s="32">
        <f>J294/K294</f>
        <v>0</v>
      </c>
    </row>
    <row r="295" spans="1:12" x14ac:dyDescent="0.25">
      <c r="A295" s="2"/>
      <c r="B295" s="2"/>
      <c r="C295" s="2"/>
      <c r="D295" s="27"/>
      <c r="E295" s="27"/>
      <c r="F295" s="28" t="s">
        <v>278</v>
      </c>
      <c r="G295" s="27"/>
      <c r="H295"/>
      <c r="I295" s="35">
        <v>0</v>
      </c>
      <c r="J295" s="35">
        <v>124.13</v>
      </c>
      <c r="K295" s="35">
        <v>1300</v>
      </c>
      <c r="L295" s="32">
        <f>J295/K295</f>
        <v>9.5484615384615376E-2</v>
      </c>
    </row>
    <row r="296" spans="1:12" x14ac:dyDescent="0.25">
      <c r="A296" s="2"/>
      <c r="B296" s="2"/>
      <c r="C296" s="2"/>
      <c r="D296" s="28" t="s">
        <v>279</v>
      </c>
      <c r="E296"/>
      <c r="F296" s="27"/>
      <c r="G296" s="27"/>
      <c r="H296"/>
      <c r="I296" s="39">
        <f>I262+I263+I268+I269+I270+I271+I272+I273+I274+I275+I276+I277+I286+I287+I288+I289+I290+I293+I294+I295</f>
        <v>10479.329999999998</v>
      </c>
      <c r="J296" s="39">
        <f>J262+J263+J268+J269+J270+J271+J272+J273+J274+J275+J276+J277+J286+J287+J288+J289+J290+J293+J294+J295</f>
        <v>64252.149999999994</v>
      </c>
      <c r="K296" s="39">
        <f>K263+K268+K269+K270+K271+K272+K273+K274+K275+K276+K277+K286+K287+K288+K289+K290+K293+K294+K295+K262</f>
        <v>134637</v>
      </c>
      <c r="L296" s="38">
        <f t="shared" ref="L296" si="19">J296/K296</f>
        <v>0.47722505700513229</v>
      </c>
    </row>
    <row r="297" spans="1:12" x14ac:dyDescent="0.25">
      <c r="A297" s="2"/>
      <c r="B297" s="2"/>
      <c r="C297" s="28" t="s">
        <v>280</v>
      </c>
      <c r="D297"/>
      <c r="E297" s="27"/>
      <c r="F297" s="27"/>
      <c r="G297" s="27"/>
      <c r="H297"/>
      <c r="I297" s="40">
        <f>I200+I246+I251+I254+I296</f>
        <v>12369.949999999997</v>
      </c>
      <c r="J297" s="40">
        <f>J200+J246+J251+J254+J296</f>
        <v>76071.300999999992</v>
      </c>
      <c r="K297" s="40">
        <f>K200+K246+K251+K254+K296</f>
        <v>164243.35</v>
      </c>
      <c r="L297" s="49">
        <f>J297/K297</f>
        <v>0.46316213715806448</v>
      </c>
    </row>
    <row r="298" spans="1:12" x14ac:dyDescent="0.25">
      <c r="A298" s="2"/>
      <c r="B298" s="28" t="s">
        <v>281</v>
      </c>
      <c r="C298"/>
      <c r="D298" s="27"/>
      <c r="E298" s="27"/>
      <c r="F298" s="27"/>
      <c r="G298" s="27"/>
      <c r="H298"/>
      <c r="I298" s="35">
        <f>I144-I297</f>
        <v>-8577.529999999997</v>
      </c>
      <c r="J298" s="35">
        <f>J144-J297</f>
        <v>25164.879000000001</v>
      </c>
      <c r="K298" s="35">
        <f>K144-K297</f>
        <v>59.649999999994179</v>
      </c>
      <c r="L298" s="32">
        <f>J298/K298</f>
        <v>421.87559094723315</v>
      </c>
    </row>
    <row r="299" spans="1:12" x14ac:dyDescent="0.25">
      <c r="A299" s="2"/>
      <c r="B299" s="2"/>
      <c r="C299" s="28"/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/>
      <c r="C300" s="28" t="s">
        <v>282</v>
      </c>
      <c r="D300" s="27"/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8" t="s">
        <v>283</v>
      </c>
      <c r="E301" s="27"/>
      <c r="F301" s="27"/>
      <c r="G301" s="27"/>
      <c r="H301"/>
      <c r="I301" s="35"/>
      <c r="J301" s="35"/>
      <c r="K301" s="35"/>
      <c r="L301" s="32"/>
    </row>
    <row r="302" spans="1:12" x14ac:dyDescent="0.25">
      <c r="A302" s="2"/>
      <c r="B302" s="2"/>
      <c r="C302" s="2"/>
      <c r="D302" s="27"/>
      <c r="E302" s="28" t="s">
        <v>284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285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ht="28.9" customHeight="1" x14ac:dyDescent="0.25">
      <c r="A304" s="2"/>
      <c r="B304" s="2"/>
      <c r="C304" s="2"/>
      <c r="D304" s="27"/>
      <c r="E304" s="28" t="s">
        <v>286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287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288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289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290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291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292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7"/>
      <c r="E311" s="28" t="s">
        <v>293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294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x14ac:dyDescent="0.25">
      <c r="A313" s="2"/>
      <c r="B313" s="2"/>
      <c r="C313" s="2"/>
      <c r="D313" s="27"/>
      <c r="E313" s="28" t="s">
        <v>295</v>
      </c>
      <c r="F313" s="27"/>
      <c r="G313" s="27"/>
      <c r="H313"/>
      <c r="I313" s="35">
        <v>0</v>
      </c>
      <c r="J313" s="35"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296</v>
      </c>
      <c r="E314" s="27"/>
      <c r="F314" s="27"/>
      <c r="G314" s="27"/>
      <c r="H314"/>
      <c r="I314" s="39">
        <f>SUM(I302:I313)</f>
        <v>0</v>
      </c>
      <c r="J314" s="39">
        <f t="shared" ref="J314" si="20">SUM(J302:J313)</f>
        <v>0</v>
      </c>
      <c r="K314" s="52"/>
      <c r="L314" s="43"/>
    </row>
    <row r="315" spans="1:12" ht="28.9" customHeight="1" x14ac:dyDescent="0.25">
      <c r="A315" s="2"/>
      <c r="B315" s="2"/>
      <c r="C315" s="2"/>
      <c r="D315" s="28" t="s">
        <v>297</v>
      </c>
      <c r="E315" s="27"/>
      <c r="F315" s="27"/>
      <c r="G315" s="27"/>
      <c r="H315"/>
      <c r="I315" s="35"/>
      <c r="J315" s="35"/>
      <c r="K315" s="35"/>
      <c r="L315" s="32"/>
    </row>
    <row r="316" spans="1:12" ht="28.9" customHeight="1" x14ac:dyDescent="0.25">
      <c r="A316" s="2"/>
      <c r="B316" s="2"/>
      <c r="C316" s="2"/>
      <c r="D316" s="27"/>
      <c r="E316" s="28" t="s">
        <v>298</v>
      </c>
      <c r="F316" s="27"/>
      <c r="G316" s="27"/>
      <c r="H316"/>
      <c r="I316" s="35">
        <v>0</v>
      </c>
      <c r="J316" s="35">
        <v>26</v>
      </c>
      <c r="K316" s="52"/>
      <c r="L316" s="43"/>
    </row>
    <row r="317" spans="1:12" x14ac:dyDescent="0.25">
      <c r="A317" s="2"/>
      <c r="B317" s="2"/>
      <c r="C317" s="2"/>
      <c r="D317" s="27"/>
      <c r="E317" s="28" t="s">
        <v>299</v>
      </c>
      <c r="F317" s="27"/>
      <c r="G317" s="27"/>
      <c r="H317"/>
      <c r="I317" s="35">
        <v>0</v>
      </c>
      <c r="J317" s="35"/>
      <c r="K317" s="52"/>
      <c r="L317" s="43"/>
    </row>
    <row r="318" spans="1:12" x14ac:dyDescent="0.25">
      <c r="A318" s="2"/>
      <c r="B318" s="2"/>
      <c r="C318" s="2"/>
      <c r="D318" s="27"/>
      <c r="E318" s="28" t="s">
        <v>300</v>
      </c>
      <c r="F318" s="27"/>
      <c r="G318" s="27"/>
      <c r="H318"/>
      <c r="I318" s="35">
        <v>0</v>
      </c>
      <c r="J318" s="35">
        <v>14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301</v>
      </c>
      <c r="F319" s="27"/>
      <c r="G319" s="27"/>
      <c r="H319"/>
      <c r="I319" s="35">
        <v>0</v>
      </c>
      <c r="J319" s="35">
        <v>39</v>
      </c>
      <c r="K319" s="52"/>
      <c r="L319" s="43"/>
    </row>
    <row r="320" spans="1:12" x14ac:dyDescent="0.25">
      <c r="A320" s="2"/>
      <c r="B320" s="2"/>
      <c r="C320" s="2"/>
      <c r="D320" s="27"/>
      <c r="F320" s="28" t="s">
        <v>302</v>
      </c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303</v>
      </c>
      <c r="F321" s="27"/>
      <c r="G321" s="27"/>
      <c r="H321"/>
      <c r="I321" s="35">
        <f>SUM(I319:I320)</f>
        <v>0</v>
      </c>
      <c r="J321" s="35">
        <f>SUM(J319:J320)</f>
        <v>39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304</v>
      </c>
      <c r="F322" s="27"/>
      <c r="G322" s="27"/>
      <c r="H322"/>
      <c r="I322" s="35">
        <v>0</v>
      </c>
      <c r="J322" s="35">
        <v>7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305</v>
      </c>
      <c r="F323" s="27"/>
      <c r="G323" s="27"/>
      <c r="H323"/>
      <c r="I323" s="35">
        <v>0</v>
      </c>
      <c r="J323" s="35">
        <v>0</v>
      </c>
      <c r="K323" s="52"/>
      <c r="L323" s="43"/>
    </row>
    <row r="324" spans="1:12" x14ac:dyDescent="0.25">
      <c r="A324" s="2"/>
      <c r="B324" s="2"/>
      <c r="C324" s="2"/>
      <c r="D324" s="27"/>
      <c r="F324" s="28" t="s">
        <v>306</v>
      </c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307</v>
      </c>
      <c r="F325" s="27"/>
      <c r="G325" s="27"/>
      <c r="H325"/>
      <c r="I325" s="35">
        <v>0</v>
      </c>
      <c r="J325" s="35">
        <v>19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308</v>
      </c>
      <c r="F326" s="27"/>
      <c r="G326" s="27"/>
      <c r="H326"/>
      <c r="I326" s="35">
        <v>0</v>
      </c>
      <c r="J326" s="35">
        <v>40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309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310</v>
      </c>
      <c r="F328" s="27"/>
      <c r="G328" s="27"/>
      <c r="H328"/>
      <c r="I328" s="35">
        <v>0</v>
      </c>
      <c r="J328" s="35">
        <v>0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311</v>
      </c>
      <c r="F329" s="27"/>
      <c r="G329" s="27"/>
      <c r="H329"/>
      <c r="I329" s="35">
        <v>0</v>
      </c>
      <c r="J329" s="35">
        <v>6</v>
      </c>
      <c r="K329" s="52"/>
      <c r="L329" s="43"/>
    </row>
    <row r="330" spans="1:12" x14ac:dyDescent="0.25">
      <c r="A330" s="2"/>
      <c r="B330" s="2"/>
      <c r="C330" s="2"/>
      <c r="D330" s="27"/>
      <c r="E330" s="28" t="s">
        <v>312</v>
      </c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313</v>
      </c>
      <c r="E331" s="27"/>
      <c r="F331" s="27"/>
      <c r="G331" s="27"/>
      <c r="H331"/>
      <c r="I331" s="39">
        <f>SUM(I316,I317,I318,I322,I325,I326,I327,I328,I329,I330,I321)</f>
        <v>0</v>
      </c>
      <c r="J331" s="39">
        <f>SUM(J316,J317,J318,J322,J325,J326,J327,J328,J329,J330,J321)</f>
        <v>151</v>
      </c>
      <c r="K331" s="52"/>
      <c r="L331" s="43"/>
    </row>
    <row r="332" spans="1:12" x14ac:dyDescent="0.25">
      <c r="A332" s="2"/>
      <c r="B332" s="2"/>
      <c r="C332" s="28" t="s">
        <v>314</v>
      </c>
      <c r="D332" s="27"/>
      <c r="E332" s="27"/>
      <c r="F332" s="27"/>
      <c r="G332" s="27"/>
      <c r="H332"/>
      <c r="I332" s="35"/>
      <c r="J332" s="35"/>
      <c r="K332" s="35"/>
      <c r="L332" s="32"/>
    </row>
    <row r="333" spans="1:12" ht="28.9" customHeight="1" x14ac:dyDescent="0.25">
      <c r="A333" s="2"/>
      <c r="B333" s="2"/>
      <c r="C333" s="2"/>
      <c r="D333" s="28" t="s">
        <v>315</v>
      </c>
      <c r="E333" s="27"/>
      <c r="F333" s="27"/>
      <c r="G333" s="27"/>
      <c r="H333"/>
      <c r="I333" s="35">
        <v>0</v>
      </c>
      <c r="J333" s="35">
        <v>0</v>
      </c>
      <c r="K333" s="52"/>
      <c r="L333" s="43"/>
    </row>
    <row r="334" spans="1:12" x14ac:dyDescent="0.25">
      <c r="A334" s="2"/>
      <c r="B334" s="2"/>
      <c r="C334" s="2"/>
      <c r="D334" s="28" t="s">
        <v>316</v>
      </c>
      <c r="E334" s="27"/>
      <c r="F334" s="27"/>
      <c r="G334" s="27"/>
      <c r="H334"/>
      <c r="I334" s="35">
        <v>0</v>
      </c>
      <c r="J334" s="35">
        <v>18</v>
      </c>
      <c r="K334" s="52"/>
      <c r="L334" s="43"/>
    </row>
    <row r="335" spans="1:12" x14ac:dyDescent="0.25">
      <c r="A335" s="2"/>
      <c r="B335" s="2"/>
      <c r="C335" s="2"/>
      <c r="D335" s="28" t="s">
        <v>317</v>
      </c>
      <c r="E335" s="27"/>
      <c r="F335" s="27"/>
      <c r="G335" s="27"/>
      <c r="H335"/>
      <c r="I335" s="35">
        <v>0</v>
      </c>
      <c r="J335" s="35">
        <v>12</v>
      </c>
      <c r="K335" s="52"/>
      <c r="L335" s="43"/>
    </row>
    <row r="336" spans="1:12" x14ac:dyDescent="0.25">
      <c r="A336" s="2"/>
      <c r="B336" s="2"/>
      <c r="C336" s="2"/>
      <c r="D336" s="28" t="s">
        <v>318</v>
      </c>
      <c r="E336" s="27"/>
      <c r="F336" s="27"/>
      <c r="G336" s="27"/>
      <c r="H336"/>
      <c r="I336" s="35">
        <v>0</v>
      </c>
      <c r="J336" s="35">
        <v>102</v>
      </c>
      <c r="K336" s="52"/>
      <c r="L336" s="43"/>
    </row>
    <row r="337" spans="1:12" x14ac:dyDescent="0.25">
      <c r="A337" s="2"/>
      <c r="B337" s="2"/>
      <c r="C337" s="2"/>
      <c r="D337" s="28" t="s">
        <v>319</v>
      </c>
      <c r="E337" s="27"/>
      <c r="F337" s="27"/>
      <c r="G337" s="27"/>
      <c r="H337"/>
      <c r="I337" s="35">
        <v>0</v>
      </c>
      <c r="J337" s="35">
        <v>60</v>
      </c>
      <c r="K337" s="52"/>
      <c r="L337" s="43"/>
    </row>
    <row r="338" spans="1:12" x14ac:dyDescent="0.25">
      <c r="A338" s="2"/>
      <c r="B338" s="2"/>
      <c r="C338" s="2"/>
      <c r="D338" s="28" t="s">
        <v>320</v>
      </c>
      <c r="E338" s="27"/>
      <c r="F338" s="27"/>
      <c r="G338" s="27"/>
      <c r="H338"/>
      <c r="I338" s="35">
        <v>0</v>
      </c>
      <c r="J338" s="35">
        <v>24</v>
      </c>
      <c r="K338" s="52"/>
      <c r="L338" s="43"/>
    </row>
    <row r="339" spans="1:12" x14ac:dyDescent="0.25">
      <c r="A339" s="2"/>
      <c r="B339" s="2"/>
      <c r="C339" s="2"/>
      <c r="D339" s="28" t="s">
        <v>321</v>
      </c>
      <c r="E339" s="27"/>
      <c r="F339" s="27"/>
      <c r="G339" s="27"/>
      <c r="H339"/>
      <c r="I339" s="35">
        <v>0</v>
      </c>
      <c r="J339" s="35">
        <v>0</v>
      </c>
      <c r="K339" s="52"/>
      <c r="L339" s="43"/>
    </row>
    <row r="340" spans="1:12" x14ac:dyDescent="0.25">
      <c r="A340" s="2"/>
      <c r="B340" s="2"/>
      <c r="C340" s="2"/>
      <c r="D340" s="28" t="s">
        <v>322</v>
      </c>
      <c r="E340" s="27"/>
      <c r="F340" s="27"/>
      <c r="G340" s="27"/>
      <c r="H340"/>
      <c r="I340" s="35">
        <v>0</v>
      </c>
      <c r="J340" s="35">
        <v>17</v>
      </c>
      <c r="K340" s="52"/>
      <c r="L340" s="43"/>
    </row>
    <row r="341" spans="1:12" x14ac:dyDescent="0.25">
      <c r="A341" s="2"/>
      <c r="B341" s="2"/>
      <c r="C341" s="2"/>
      <c r="D341" s="28" t="s">
        <v>323</v>
      </c>
      <c r="E341" s="27"/>
      <c r="F341" s="27"/>
      <c r="G341" s="27"/>
      <c r="H341"/>
      <c r="I341" s="35">
        <v>0</v>
      </c>
      <c r="J341" s="35">
        <v>18</v>
      </c>
      <c r="K341" s="52"/>
      <c r="L341" s="43"/>
    </row>
    <row r="342" spans="1:12" x14ac:dyDescent="0.25">
      <c r="A342" s="2"/>
      <c r="B342" s="2"/>
      <c r="C342" s="2"/>
      <c r="D342" s="28" t="s">
        <v>324</v>
      </c>
      <c r="E342" s="27"/>
      <c r="F342" s="27"/>
      <c r="G342" s="27"/>
      <c r="H342"/>
      <c r="I342" s="35">
        <v>0</v>
      </c>
      <c r="J342" s="35">
        <v>72</v>
      </c>
      <c r="K342" s="52"/>
      <c r="L342" s="43"/>
    </row>
    <row r="343" spans="1:12" x14ac:dyDescent="0.25">
      <c r="A343" s="2"/>
      <c r="B343" s="2"/>
      <c r="C343" s="28" t="s">
        <v>325</v>
      </c>
      <c r="D343" s="27"/>
      <c r="E343" s="27"/>
      <c r="F343" s="27"/>
      <c r="G343" s="27"/>
      <c r="H343"/>
      <c r="I343" s="39">
        <f>SUM(I333:I342)</f>
        <v>0</v>
      </c>
      <c r="J343" s="39">
        <f>SUM(J333:J342)</f>
        <v>323</v>
      </c>
      <c r="K343" s="52"/>
      <c r="L343" s="43"/>
    </row>
    <row r="344" spans="1:12" x14ac:dyDescent="0.25">
      <c r="A344" s="2"/>
      <c r="B344" s="28" t="s">
        <v>326</v>
      </c>
      <c r="C344" s="2"/>
      <c r="D344" s="27"/>
      <c r="E344" s="27"/>
      <c r="F344" s="27"/>
      <c r="G344" s="27"/>
      <c r="H344"/>
      <c r="I344" s="39">
        <f>I314+I331+I343</f>
        <v>0</v>
      </c>
      <c r="J344" s="39">
        <f>J314+J331+J343</f>
        <v>474</v>
      </c>
      <c r="K344" s="52"/>
      <c r="L344" s="43"/>
    </row>
    <row r="345" spans="1:12" ht="28.9" customHeight="1" x14ac:dyDescent="0.25">
      <c r="A345" s="2"/>
      <c r="B345"/>
      <c r="C345" s="28" t="s">
        <v>327</v>
      </c>
      <c r="D345" s="2"/>
      <c r="E345" s="27"/>
      <c r="F345" s="27"/>
      <c r="G345" s="27"/>
      <c r="H345"/>
      <c r="I345" s="35"/>
      <c r="J345" s="35"/>
      <c r="K345" s="35"/>
      <c r="L345" s="32"/>
    </row>
    <row r="346" spans="1:12" ht="28.9" customHeight="1" x14ac:dyDescent="0.25">
      <c r="A346" s="2"/>
      <c r="B346"/>
      <c r="C346" s="2"/>
      <c r="D346"/>
      <c r="E346" s="28" t="s">
        <v>328</v>
      </c>
      <c r="F346" s="27"/>
      <c r="G346" s="27"/>
      <c r="H346"/>
      <c r="I346" s="35">
        <v>0</v>
      </c>
      <c r="J346" s="35"/>
      <c r="K346" s="52"/>
      <c r="L346" s="43"/>
    </row>
    <row r="347" spans="1:12" x14ac:dyDescent="0.25">
      <c r="A347" s="2"/>
      <c r="B347"/>
      <c r="C347" s="2"/>
      <c r="D347"/>
      <c r="E347" s="28" t="s">
        <v>329</v>
      </c>
      <c r="F347" s="27"/>
      <c r="G347" s="27"/>
      <c r="H347"/>
      <c r="I347" s="35"/>
      <c r="J347" s="35"/>
      <c r="K347" s="52"/>
      <c r="L347" s="43"/>
    </row>
    <row r="348" spans="1:12" x14ac:dyDescent="0.25">
      <c r="A348" s="2"/>
      <c r="B348"/>
      <c r="C348" s="2"/>
      <c r="D348"/>
      <c r="E348"/>
      <c r="F348" s="28" t="s">
        <v>330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331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332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/>
      <c r="G351" s="28" t="s">
        <v>333</v>
      </c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334</v>
      </c>
      <c r="G352" s="27"/>
      <c r="H352"/>
      <c r="I352" s="39">
        <f>SUM(I348:I351)</f>
        <v>0</v>
      </c>
      <c r="J352" s="39">
        <f>SUM(J348:J351)</f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335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336</v>
      </c>
      <c r="G354" s="27"/>
      <c r="H354"/>
      <c r="I354" s="35">
        <v>0</v>
      </c>
      <c r="J354" s="35">
        <v>70.319999999999993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337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17" t="s">
        <v>338</v>
      </c>
      <c r="G356" s="27"/>
      <c r="H356"/>
      <c r="I356" s="35">
        <v>0</v>
      </c>
      <c r="J356" s="35">
        <v>23.17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339</v>
      </c>
      <c r="G357"/>
      <c r="H357"/>
      <c r="I357" s="35">
        <v>0</v>
      </c>
      <c r="J357" s="35">
        <v>77.59</v>
      </c>
      <c r="K357" s="52"/>
      <c r="L357" s="43"/>
    </row>
    <row r="358" spans="1:12" x14ac:dyDescent="0.25">
      <c r="A358" s="2"/>
      <c r="B358"/>
      <c r="C358" s="2"/>
      <c r="D358"/>
      <c r="E358"/>
      <c r="F358" s="28" t="s">
        <v>340</v>
      </c>
      <c r="G358"/>
      <c r="H358"/>
      <c r="I358" s="35">
        <v>0</v>
      </c>
      <c r="J358" s="35">
        <v>23.17</v>
      </c>
      <c r="K358" s="52"/>
      <c r="L358" s="43"/>
    </row>
    <row r="359" spans="1:12" x14ac:dyDescent="0.25">
      <c r="A359" s="2"/>
      <c r="B359" s="2"/>
      <c r="C359" s="2"/>
      <c r="D359" s="28" t="s">
        <v>341</v>
      </c>
      <c r="E359" s="27"/>
      <c r="F359" s="27"/>
      <c r="G359" s="27"/>
      <c r="H359"/>
      <c r="I359" s="39">
        <f>I352+I354+I355+I357+I353+I356+I358</f>
        <v>0</v>
      </c>
      <c r="J359" s="39">
        <f>J352+J354+J355+J357+J353+J356+J358</f>
        <v>217.42000000000002</v>
      </c>
      <c r="K359" s="52"/>
      <c r="L359" s="43"/>
    </row>
    <row r="360" spans="1:12" x14ac:dyDescent="0.25">
      <c r="A360" s="2"/>
      <c r="B360" s="2"/>
      <c r="C360" s="2"/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 s="28" t="s">
        <v>342</v>
      </c>
      <c r="E361" s="27"/>
      <c r="F361" s="27"/>
      <c r="G361" s="27"/>
      <c r="H361"/>
      <c r="I361" s="35"/>
      <c r="J361" s="35"/>
      <c r="K361" s="35"/>
      <c r="L361" s="32"/>
    </row>
    <row r="362" spans="1:12" x14ac:dyDescent="0.25">
      <c r="A362" s="2"/>
      <c r="B362" s="2"/>
      <c r="C362" s="2"/>
      <c r="D362"/>
      <c r="E362" s="28" t="s">
        <v>343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x14ac:dyDescent="0.25">
      <c r="A363" s="2"/>
      <c r="B363" s="2"/>
      <c r="C363" s="2"/>
      <c r="D363"/>
      <c r="E363" s="28" t="s">
        <v>344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x14ac:dyDescent="0.25">
      <c r="A364" s="2"/>
      <c r="B364" s="2"/>
      <c r="C364" s="2"/>
      <c r="D364"/>
      <c r="E364" s="28" t="s">
        <v>345</v>
      </c>
      <c r="F364" s="27"/>
      <c r="G364" s="27"/>
      <c r="H364"/>
      <c r="I364" s="35">
        <v>0</v>
      </c>
      <c r="J364" s="35">
        <v>23.17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346</v>
      </c>
      <c r="F365" s="27"/>
      <c r="G365" s="27"/>
      <c r="H365"/>
      <c r="I365" s="35">
        <v>0</v>
      </c>
      <c r="J365" s="35">
        <v>0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347</v>
      </c>
      <c r="F366" s="27"/>
      <c r="G366" s="27"/>
      <c r="H366"/>
      <c r="I366" s="35">
        <v>0</v>
      </c>
      <c r="J366" s="35">
        <v>23.17</v>
      </c>
      <c r="K366" s="52"/>
      <c r="L366" s="43"/>
    </row>
    <row r="367" spans="1:12" ht="28.9" customHeight="1" x14ac:dyDescent="0.25">
      <c r="A367" s="2"/>
      <c r="B367" s="2"/>
      <c r="C367" s="2"/>
      <c r="D367"/>
      <c r="E367" s="28" t="s">
        <v>348</v>
      </c>
      <c r="F367" s="27"/>
      <c r="G367" s="27"/>
      <c r="H367"/>
      <c r="I367" s="35">
        <v>0</v>
      </c>
      <c r="J367" s="35">
        <v>239.05</v>
      </c>
      <c r="K367" s="52"/>
      <c r="L367" s="43"/>
    </row>
    <row r="368" spans="1:12" s="17" customFormat="1" ht="28.9" customHeight="1" x14ac:dyDescent="0.2">
      <c r="A368" s="2"/>
      <c r="B368" s="2"/>
      <c r="C368" s="2"/>
      <c r="E368" s="28" t="s">
        <v>349</v>
      </c>
      <c r="F368" s="27"/>
      <c r="G368" s="27"/>
      <c r="I368" s="35">
        <v>0</v>
      </c>
      <c r="J368" s="35">
        <v>23.17</v>
      </c>
      <c r="K368" s="52"/>
      <c r="L368" s="43"/>
    </row>
    <row r="369" spans="1:12" x14ac:dyDescent="0.25">
      <c r="D369"/>
      <c r="E369" s="28" t="s">
        <v>350</v>
      </c>
      <c r="H369"/>
      <c r="I369" s="35">
        <v>0</v>
      </c>
      <c r="J369" s="57">
        <v>0</v>
      </c>
      <c r="K369" s="53"/>
      <c r="L369" s="44"/>
    </row>
    <row r="370" spans="1:12" x14ac:dyDescent="0.25">
      <c r="D370"/>
      <c r="E370" s="28" t="s">
        <v>351</v>
      </c>
      <c r="H370"/>
      <c r="I370" s="35">
        <v>0</v>
      </c>
      <c r="J370" s="45">
        <v>23.17</v>
      </c>
      <c r="K370" s="53"/>
      <c r="L370" s="44"/>
    </row>
    <row r="371" spans="1:12" x14ac:dyDescent="0.25">
      <c r="D371" s="28" t="s">
        <v>352</v>
      </c>
      <c r="H371"/>
      <c r="I371" s="46">
        <f>SUM(I362:I370)</f>
        <v>0</v>
      </c>
      <c r="J371" s="46">
        <f>SUM(J362:J370)</f>
        <v>354.90000000000003</v>
      </c>
      <c r="K371" s="53"/>
      <c r="L371" s="44"/>
    </row>
    <row r="372" spans="1:12" x14ac:dyDescent="0.25">
      <c r="C372" s="28" t="s">
        <v>353</v>
      </c>
      <c r="H372"/>
      <c r="I372" s="46">
        <f>I346+I359+I371</f>
        <v>0</v>
      </c>
      <c r="J372" s="46">
        <f>J346+J359+J371</f>
        <v>572.32000000000005</v>
      </c>
      <c r="K372" s="53"/>
      <c r="L372" s="44"/>
    </row>
    <row r="373" spans="1:12" x14ac:dyDescent="0.25">
      <c r="B373" s="28" t="s">
        <v>354</v>
      </c>
      <c r="H373"/>
      <c r="I373" s="48">
        <f>I344-I372</f>
        <v>0</v>
      </c>
      <c r="J373" s="48">
        <f>J344-J372</f>
        <v>-98.32000000000005</v>
      </c>
      <c r="K373" s="53"/>
      <c r="L373" s="44"/>
    </row>
    <row r="374" spans="1:12" x14ac:dyDescent="0.25">
      <c r="A374" s="28" t="s">
        <v>6</v>
      </c>
      <c r="H374"/>
      <c r="I374" s="47">
        <f>I298+I373</f>
        <v>-8577.529999999997</v>
      </c>
      <c r="J374" s="47">
        <f>J298+J373</f>
        <v>25066.559000000001</v>
      </c>
      <c r="K374" s="53"/>
      <c r="L374" s="44"/>
    </row>
    <row r="379" spans="1:12" x14ac:dyDescent="0.25">
      <c r="I379" s="23"/>
      <c r="J379" s="23"/>
    </row>
    <row r="390" spans="9:10" x14ac:dyDescent="0.25">
      <c r="I390" s="23"/>
      <c r="J390" s="23"/>
    </row>
    <row r="395" spans="9:10" x14ac:dyDescent="0.25">
      <c r="I395" s="24"/>
      <c r="J395" s="24"/>
    </row>
    <row r="396" spans="9:10" x14ac:dyDescent="0.25">
      <c r="I396" s="23"/>
      <c r="J396" s="23"/>
    </row>
    <row r="416" spans="10:10" x14ac:dyDescent="0.25">
      <c r="J416" s="24"/>
    </row>
    <row r="417" spans="9:10" x14ac:dyDescent="0.25">
      <c r="I417" s="23"/>
      <c r="J417" s="23"/>
    </row>
    <row r="421" spans="9:10" x14ac:dyDescent="0.25">
      <c r="J421" s="24"/>
    </row>
    <row r="428" spans="9:10" x14ac:dyDescent="0.25">
      <c r="I428" s="23"/>
      <c r="J428" s="23"/>
    </row>
    <row r="436" spans="9:10" x14ac:dyDescent="0.25">
      <c r="I436" s="23"/>
      <c r="J436" s="23"/>
    </row>
    <row r="439" spans="9:10" x14ac:dyDescent="0.25">
      <c r="I439" s="23"/>
      <c r="J439" s="23"/>
    </row>
    <row r="445" spans="9:10" x14ac:dyDescent="0.25">
      <c r="I445" s="23"/>
      <c r="J445" s="23"/>
    </row>
    <row r="448" spans="9:10" x14ac:dyDescent="0.25">
      <c r="I448" s="23"/>
      <c r="J448" s="23"/>
    </row>
    <row r="449" spans="9:10" x14ac:dyDescent="0.25">
      <c r="I449" s="23"/>
      <c r="J449" s="23"/>
    </row>
    <row r="467" spans="9:10" x14ac:dyDescent="0.25">
      <c r="I467" s="23"/>
      <c r="J467" s="23"/>
    </row>
    <row r="471" spans="9:10" x14ac:dyDescent="0.25">
      <c r="I471" s="23"/>
      <c r="J471" s="23"/>
    </row>
    <row r="478" spans="9:10" x14ac:dyDescent="0.25">
      <c r="I478" s="23"/>
      <c r="J478" s="23"/>
    </row>
    <row r="486" spans="9:10" x14ac:dyDescent="0.25">
      <c r="I486" s="23"/>
      <c r="J486" s="23"/>
    </row>
    <row r="499" spans="9:10" x14ac:dyDescent="0.25">
      <c r="I499" s="23"/>
      <c r="J499" s="23"/>
    </row>
    <row r="512" spans="9:10" x14ac:dyDescent="0.25">
      <c r="I512" s="23"/>
      <c r="J512" s="23"/>
    </row>
    <row r="513" spans="9:10" x14ac:dyDescent="0.25">
      <c r="I513" s="23"/>
      <c r="J513" s="23"/>
    </row>
    <row r="516" spans="9:10" x14ac:dyDescent="0.25">
      <c r="J516" s="24"/>
    </row>
    <row r="522" spans="9:10" x14ac:dyDescent="0.25">
      <c r="I522" s="23"/>
      <c r="J522" s="23"/>
    </row>
    <row r="525" spans="9:10" x14ac:dyDescent="0.25">
      <c r="I525" s="23"/>
      <c r="J525" s="23"/>
    </row>
    <row r="530" spans="9:10" x14ac:dyDescent="0.25">
      <c r="I530" s="23"/>
      <c r="J530" s="23"/>
    </row>
    <row r="533" spans="9:10" x14ac:dyDescent="0.25">
      <c r="I533" s="23"/>
      <c r="J533" s="23"/>
    </row>
    <row r="539" spans="9:10" x14ac:dyDescent="0.25">
      <c r="I539" s="23"/>
      <c r="J539" s="23"/>
    </row>
    <row r="545" spans="9:10" x14ac:dyDescent="0.25">
      <c r="I545" s="23"/>
      <c r="J545" s="23"/>
    </row>
    <row r="558" spans="9:10" x14ac:dyDescent="0.25">
      <c r="I558" s="23"/>
      <c r="J558" s="23"/>
    </row>
    <row r="562" spans="9:10" x14ac:dyDescent="0.25">
      <c r="I562" s="23"/>
      <c r="J562" s="23"/>
    </row>
    <row r="563" spans="9:10" x14ac:dyDescent="0.25">
      <c r="I563" s="23"/>
      <c r="J563" s="23"/>
    </row>
    <row r="564" spans="9:10" x14ac:dyDescent="0.25">
      <c r="I564" s="23"/>
      <c r="J564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81" sqref="H81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355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433</v>
      </c>
      <c r="B3" s="2"/>
      <c r="C3" s="2"/>
      <c r="D3" s="2"/>
      <c r="E3" s="2"/>
      <c r="F3" s="2"/>
      <c r="G3" s="2"/>
      <c r="H3" s="1"/>
      <c r="I3" s="1"/>
      <c r="J3" s="18" t="s">
        <v>356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634</v>
      </c>
      <c r="I5" s="21" t="s">
        <v>9</v>
      </c>
      <c r="J5" s="21" t="s">
        <v>10</v>
      </c>
    </row>
    <row r="6" spans="1:10" ht="15.75" thickTop="1" x14ac:dyDescent="0.25">
      <c r="A6" s="2"/>
      <c r="B6" s="2" t="s">
        <v>357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11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358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359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360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25">
      <c r="A11" s="2"/>
      <c r="B11" s="2"/>
      <c r="C11" s="2"/>
      <c r="D11" s="2"/>
      <c r="E11" s="2"/>
      <c r="F11" s="59" t="s">
        <v>104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361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362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363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364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365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366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115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116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367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368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369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370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371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372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373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435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438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374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375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376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377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378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379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380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3">
      <c r="A36" s="2"/>
      <c r="B36" s="2"/>
      <c r="C36" s="2"/>
      <c r="D36" s="2" t="s">
        <v>11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25">
      <c r="A37" s="2"/>
      <c r="B37" s="2"/>
      <c r="C37" s="2" t="s">
        <v>133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25">
      <c r="A38" s="2"/>
      <c r="B38" s="2"/>
      <c r="C38" s="2"/>
      <c r="D38" s="2" t="s">
        <v>381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382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383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384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385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386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387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388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389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390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391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392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393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394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25">
      <c r="A52" s="2"/>
      <c r="B52" s="2"/>
      <c r="C52" s="2"/>
      <c r="D52" s="2"/>
      <c r="E52" s="2"/>
      <c r="F52" s="2" t="s">
        <v>395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396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397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398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399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400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401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402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403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404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405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406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407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408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409</v>
      </c>
      <c r="H66" s="7">
        <v>300</v>
      </c>
      <c r="I66" s="7">
        <v>300</v>
      </c>
      <c r="J66" s="8">
        <f>H66/I66</f>
        <v>1</v>
      </c>
    </row>
    <row r="67" spans="1:10" x14ac:dyDescent="0.25">
      <c r="A67" s="2"/>
      <c r="B67" s="2"/>
      <c r="C67" s="2"/>
      <c r="D67" s="2"/>
      <c r="E67" s="2"/>
      <c r="F67" s="2"/>
      <c r="G67" s="2" t="s">
        <v>410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411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412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413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25">
      <c r="A71" s="2"/>
      <c r="B71" s="2"/>
      <c r="C71" s="2"/>
      <c r="D71" s="2"/>
      <c r="E71" s="2"/>
      <c r="F71" s="2" t="s">
        <v>414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415</v>
      </c>
      <c r="H72" s="9">
        <v>904.99</v>
      </c>
      <c r="I72" s="9">
        <v>1000</v>
      </c>
      <c r="J72" s="10">
        <f>H72/I72</f>
        <v>0.90498999999999996</v>
      </c>
    </row>
    <row r="73" spans="1:10" x14ac:dyDescent="0.25">
      <c r="A73" s="2"/>
      <c r="B73" s="2"/>
      <c r="C73" s="2"/>
      <c r="D73" s="2"/>
      <c r="E73" s="2"/>
      <c r="F73" s="2" t="s">
        <v>416</v>
      </c>
      <c r="G73" s="2"/>
      <c r="H73" s="7">
        <f>ROUND(SUM(H71:H72),5)</f>
        <v>904.99</v>
      </c>
      <c r="I73" s="7">
        <f>ROUND(SUM(I71:I72),5)</f>
        <v>1000</v>
      </c>
      <c r="J73" s="8">
        <f>H73/I73</f>
        <v>0.90498999999999996</v>
      </c>
    </row>
    <row r="74" spans="1:10" ht="28.9" customHeight="1" x14ac:dyDescent="0.25">
      <c r="A74" s="2"/>
      <c r="B74" s="2"/>
      <c r="C74" s="2"/>
      <c r="D74" s="2"/>
      <c r="E74" s="2"/>
      <c r="F74" s="2" t="s">
        <v>417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418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419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420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421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422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423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424</v>
      </c>
      <c r="F81" s="2"/>
      <c r="G81" s="2"/>
      <c r="H81" s="11">
        <f>ROUND(H39+SUM(H46:H59)+H64+H70+H73++SUM(H76:H80),5)</f>
        <v>1626.33</v>
      </c>
      <c r="I81" s="11">
        <f>ROUND(I39+SUM(I46:I59)+I64+I70+I73++SUM(I76:I80),5)</f>
        <v>4106</v>
      </c>
      <c r="J81" s="12">
        <f>H81/I81</f>
        <v>0.39608621529469068</v>
      </c>
    </row>
    <row r="82" spans="1:10" ht="28.9" customHeight="1" x14ac:dyDescent="0.25">
      <c r="A82" s="2"/>
      <c r="B82" s="2"/>
      <c r="C82" s="2"/>
      <c r="D82" s="2" t="s">
        <v>425</v>
      </c>
      <c r="E82" s="2"/>
      <c r="F82" s="2"/>
      <c r="G82" s="2"/>
      <c r="H82" s="11">
        <f>ROUND(H38+H81,5)</f>
        <v>1626.33</v>
      </c>
      <c r="I82" s="11">
        <f>ROUND(I38+I81+I80,5)</f>
        <v>4606</v>
      </c>
      <c r="J82" s="12">
        <f t="shared" ref="J82:J84" si="1">H82/I82</f>
        <v>0.35308944854537561</v>
      </c>
    </row>
    <row r="83" spans="1:10" ht="28.9" customHeight="1" thickBot="1" x14ac:dyDescent="0.3">
      <c r="A83" s="2"/>
      <c r="B83" s="2" t="s">
        <v>426</v>
      </c>
      <c r="C83" s="2"/>
      <c r="D83" s="2"/>
      <c r="E83" s="2"/>
      <c r="F83" s="2"/>
      <c r="G83" s="2"/>
      <c r="H83" s="11">
        <f>ROUND(H6+H37-H82,5)</f>
        <v>14527.67</v>
      </c>
      <c r="I83" s="11">
        <f>ROUND(I6+I37-I82,5)</f>
        <v>19200</v>
      </c>
      <c r="J83" s="12">
        <f t="shared" si="1"/>
        <v>0.75664947916666669</v>
      </c>
    </row>
    <row r="84" spans="1:10" s="17" customFormat="1" ht="28.9" customHeight="1" thickBot="1" x14ac:dyDescent="0.25">
      <c r="A84" s="2" t="s">
        <v>6</v>
      </c>
      <c r="B84" s="2"/>
      <c r="C84" s="2"/>
      <c r="D84" s="2"/>
      <c r="E84" s="2"/>
      <c r="F84" s="2"/>
      <c r="G84" s="2"/>
      <c r="H84" s="15">
        <f>H83</f>
        <v>14527.67</v>
      </c>
      <c r="I84" s="15">
        <f>I83</f>
        <v>19200</v>
      </c>
      <c r="J84" s="16">
        <f t="shared" si="1"/>
        <v>0.75664947916666669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Gwen Henson</cp:lastModifiedBy>
  <cp:revision/>
  <dcterms:created xsi:type="dcterms:W3CDTF">2020-07-07T16:35:23Z</dcterms:created>
  <dcterms:modified xsi:type="dcterms:W3CDTF">2025-08-12T21:24:19Z</dcterms:modified>
  <cp:category/>
  <cp:contentStatus/>
</cp:coreProperties>
</file>