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\ASI\Finance\Financials\2020-06\"/>
    </mc:Choice>
  </mc:AlternateContent>
  <xr:revisionPtr revIDLastSave="0" documentId="13_ncr:1_{E9568614-19C5-467E-91D5-7E1286BE345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9" r:id="rId1"/>
    <sheet name="2020" sheetId="8" r:id="rId2"/>
    <sheet name="2019" sheetId="7" r:id="rId3"/>
    <sheet name="2018" sheetId="6" r:id="rId4"/>
    <sheet name="2017" sheetId="5" r:id="rId5"/>
    <sheet name="2016" sheetId="1" r:id="rId6"/>
    <sheet name="2015" sheetId="4" r:id="rId7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9" l="1"/>
  <c r="E13" i="9"/>
  <c r="E10" i="9"/>
  <c r="E9" i="9"/>
  <c r="E6" i="9"/>
  <c r="E4" i="9"/>
  <c r="E3" i="9"/>
  <c r="E21" i="9"/>
  <c r="E11" i="9"/>
  <c r="E7" i="9"/>
  <c r="F14" i="9"/>
  <c r="F13" i="9"/>
  <c r="F10" i="9"/>
  <c r="F9" i="9"/>
  <c r="F3" i="9"/>
  <c r="F21" i="9"/>
  <c r="F11" i="9"/>
  <c r="G14" i="9"/>
  <c r="G13" i="9"/>
  <c r="G10" i="9"/>
  <c r="I10" i="9"/>
  <c r="G9" i="9"/>
  <c r="G3" i="9"/>
  <c r="G4" i="9" s="1"/>
  <c r="G6" i="9" s="1"/>
  <c r="G7" i="9" s="1"/>
  <c r="G21" i="9"/>
  <c r="G11" i="9"/>
  <c r="BZ21" i="9"/>
  <c r="BY21" i="9"/>
  <c r="BX21" i="9"/>
  <c r="BW21" i="9"/>
  <c r="BV21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BZ14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V15" i="9" s="1"/>
  <c r="AU14" i="9"/>
  <c r="AU15" i="9" s="1"/>
  <c r="AT14" i="9"/>
  <c r="AT15" i="9" s="1"/>
  <c r="AS14" i="9"/>
  <c r="AS15" i="9" s="1"/>
  <c r="AR14" i="9"/>
  <c r="AR15" i="9" s="1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E15" i="9" s="1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V11" i="9" s="1"/>
  <c r="AU10" i="9"/>
  <c r="AU11" i="9" s="1"/>
  <c r="AT10" i="9"/>
  <c r="AT11" i="9" s="1"/>
  <c r="AS10" i="9"/>
  <c r="AS11" i="9" s="1"/>
  <c r="AR10" i="9"/>
  <c r="AR11" i="9" s="1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H10" i="9"/>
  <c r="BN9" i="9"/>
  <c r="BN11" i="9" s="1"/>
  <c r="BM9" i="9"/>
  <c r="BM11" i="9" s="1"/>
  <c r="BL9" i="9"/>
  <c r="BL11" i="9" s="1"/>
  <c r="BK9" i="9"/>
  <c r="BK11" i="9" s="1"/>
  <c r="BJ9" i="9"/>
  <c r="BJ11" i="9" s="1"/>
  <c r="BI9" i="9"/>
  <c r="BI11" i="9" s="1"/>
  <c r="BH9" i="9"/>
  <c r="BH11" i="9" s="1"/>
  <c r="BG9" i="9"/>
  <c r="BG11" i="9" s="1"/>
  <c r="BF9" i="9"/>
  <c r="BF11" i="9" s="1"/>
  <c r="BE9" i="9"/>
  <c r="BE11" i="9" s="1"/>
  <c r="BD9" i="9"/>
  <c r="BD11" i="9" s="1"/>
  <c r="BC9" i="9"/>
  <c r="BC11" i="9" s="1"/>
  <c r="BB9" i="9"/>
  <c r="BB11" i="9" s="1"/>
  <c r="BA9" i="9"/>
  <c r="BA11" i="9" s="1"/>
  <c r="AZ9" i="9"/>
  <c r="AZ11" i="9" s="1"/>
  <c r="AY9" i="9"/>
  <c r="AY11" i="9" s="1"/>
  <c r="AX9" i="9"/>
  <c r="AX11" i="9" s="1"/>
  <c r="AW9" i="9"/>
  <c r="AW11" i="9" s="1"/>
  <c r="AQ9" i="9"/>
  <c r="AQ11" i="9" s="1"/>
  <c r="AP9" i="9"/>
  <c r="AP11" i="9" s="1"/>
  <c r="AO9" i="9"/>
  <c r="AO11" i="9" s="1"/>
  <c r="AN9" i="9"/>
  <c r="AN11" i="9" s="1"/>
  <c r="AM9" i="9"/>
  <c r="AM11" i="9" s="1"/>
  <c r="AL9" i="9"/>
  <c r="AL11" i="9" s="1"/>
  <c r="AK9" i="9"/>
  <c r="AK11" i="9" s="1"/>
  <c r="AJ9" i="9"/>
  <c r="AJ11" i="9" s="1"/>
  <c r="AI9" i="9"/>
  <c r="AI11" i="9" s="1"/>
  <c r="AH9" i="9"/>
  <c r="AH11" i="9" s="1"/>
  <c r="AG9" i="9"/>
  <c r="AG11" i="9" s="1"/>
  <c r="AF9" i="9"/>
  <c r="AF11" i="9" s="1"/>
  <c r="AE9" i="9"/>
  <c r="AE11" i="9" s="1"/>
  <c r="AD9" i="9"/>
  <c r="AD11" i="9" s="1"/>
  <c r="AC9" i="9"/>
  <c r="AC11" i="9" s="1"/>
  <c r="AB9" i="9"/>
  <c r="AB11" i="9" s="1"/>
  <c r="AA9" i="9"/>
  <c r="AA11" i="9" s="1"/>
  <c r="Z9" i="9"/>
  <c r="Z11" i="9" s="1"/>
  <c r="Y9" i="9"/>
  <c r="Y11" i="9" s="1"/>
  <c r="X9" i="9"/>
  <c r="X11" i="9" s="1"/>
  <c r="W9" i="9"/>
  <c r="W11" i="9" s="1"/>
  <c r="V9" i="9"/>
  <c r="V11" i="9" s="1"/>
  <c r="U9" i="9"/>
  <c r="U11" i="9" s="1"/>
  <c r="T9" i="9"/>
  <c r="T11" i="9" s="1"/>
  <c r="S9" i="9"/>
  <c r="S11" i="9" s="1"/>
  <c r="R9" i="9"/>
  <c r="R11" i="9" s="1"/>
  <c r="Q9" i="9"/>
  <c r="Q11" i="9" s="1"/>
  <c r="P9" i="9"/>
  <c r="P11" i="9" s="1"/>
  <c r="O9" i="9"/>
  <c r="O11" i="9" s="1"/>
  <c r="N9" i="9"/>
  <c r="N11" i="9" s="1"/>
  <c r="M9" i="9"/>
  <c r="M11" i="9" s="1"/>
  <c r="L9" i="9"/>
  <c r="L11" i="9" s="1"/>
  <c r="K9" i="9"/>
  <c r="K11" i="9" s="1"/>
  <c r="J9" i="9"/>
  <c r="J11" i="9" s="1"/>
  <c r="I9" i="9"/>
  <c r="I11" i="9" s="1"/>
  <c r="H9" i="9"/>
  <c r="H11" i="9" s="1"/>
  <c r="BZ4" i="9"/>
  <c r="BZ6" i="9" s="1"/>
  <c r="BZ7" i="9" s="1"/>
  <c r="BY4" i="9"/>
  <c r="BY6" i="9" s="1"/>
  <c r="BY7" i="9" s="1"/>
  <c r="BX4" i="9"/>
  <c r="BX6" i="9" s="1"/>
  <c r="BX7" i="9" s="1"/>
  <c r="BW4" i="9"/>
  <c r="BW6" i="9" s="1"/>
  <c r="BW7" i="9" s="1"/>
  <c r="BV4" i="9"/>
  <c r="BV6" i="9" s="1"/>
  <c r="BV7" i="9" s="1"/>
  <c r="BU4" i="9"/>
  <c r="BU6" i="9" s="1"/>
  <c r="BU7" i="9" s="1"/>
  <c r="BT4" i="9"/>
  <c r="BT6" i="9" s="1"/>
  <c r="BT7" i="9" s="1"/>
  <c r="BS4" i="9"/>
  <c r="BS6" i="9" s="1"/>
  <c r="BS7" i="9" s="1"/>
  <c r="BR4" i="9"/>
  <c r="BR6" i="9" s="1"/>
  <c r="BR7" i="9" s="1"/>
  <c r="BQ4" i="9"/>
  <c r="BQ6" i="9" s="1"/>
  <c r="BQ7" i="9" s="1"/>
  <c r="BP4" i="9"/>
  <c r="BP6" i="9" s="1"/>
  <c r="BP7" i="9" s="1"/>
  <c r="BO4" i="9"/>
  <c r="BO6" i="9" s="1"/>
  <c r="BO7" i="9" s="1"/>
  <c r="BN4" i="9"/>
  <c r="BN6" i="9" s="1"/>
  <c r="BN7" i="9" s="1"/>
  <c r="BM4" i="9"/>
  <c r="BM6" i="9" s="1"/>
  <c r="BM7" i="9" s="1"/>
  <c r="BL4" i="9"/>
  <c r="BL6" i="9" s="1"/>
  <c r="BL7" i="9" s="1"/>
  <c r="BK4" i="9"/>
  <c r="BK6" i="9" s="1"/>
  <c r="BK7" i="9" s="1"/>
  <c r="BJ4" i="9"/>
  <c r="BJ6" i="9" s="1"/>
  <c r="BJ7" i="9" s="1"/>
  <c r="BI4" i="9"/>
  <c r="BI6" i="9" s="1"/>
  <c r="BI7" i="9" s="1"/>
  <c r="BH4" i="9"/>
  <c r="BH6" i="9" s="1"/>
  <c r="BH7" i="9" s="1"/>
  <c r="BG4" i="9"/>
  <c r="BG6" i="9" s="1"/>
  <c r="BG7" i="9" s="1"/>
  <c r="BC4" i="9"/>
  <c r="BC6" i="9" s="1"/>
  <c r="BC7" i="9" s="1"/>
  <c r="AQ4" i="9"/>
  <c r="AQ6" i="9" s="1"/>
  <c r="AQ7" i="9" s="1"/>
  <c r="AP4" i="9"/>
  <c r="AP6" i="9" s="1"/>
  <c r="AP7" i="9" s="1"/>
  <c r="AO4" i="9"/>
  <c r="AO6" i="9" s="1"/>
  <c r="AO7" i="9" s="1"/>
  <c r="AN4" i="9"/>
  <c r="AN6" i="9" s="1"/>
  <c r="AN7" i="9" s="1"/>
  <c r="AM4" i="9"/>
  <c r="AM6" i="9" s="1"/>
  <c r="AM7" i="9" s="1"/>
  <c r="AL4" i="9"/>
  <c r="AL6" i="9" s="1"/>
  <c r="AL7" i="9" s="1"/>
  <c r="AK4" i="9"/>
  <c r="AK6" i="9" s="1"/>
  <c r="AK7" i="9" s="1"/>
  <c r="AJ4" i="9"/>
  <c r="AJ6" i="9" s="1"/>
  <c r="AJ7" i="9" s="1"/>
  <c r="AI4" i="9"/>
  <c r="AI6" i="9" s="1"/>
  <c r="AI7" i="9" s="1"/>
  <c r="AH4" i="9"/>
  <c r="AH6" i="9" s="1"/>
  <c r="AH7" i="9" s="1"/>
  <c r="AG4" i="9"/>
  <c r="AG6" i="9" s="1"/>
  <c r="AG7" i="9" s="1"/>
  <c r="AF4" i="9"/>
  <c r="AF6" i="9" s="1"/>
  <c r="AF7" i="9" s="1"/>
  <c r="AE4" i="9"/>
  <c r="AE6" i="9" s="1"/>
  <c r="AE7" i="9" s="1"/>
  <c r="AD4" i="9"/>
  <c r="AD6" i="9" s="1"/>
  <c r="AD7" i="9" s="1"/>
  <c r="AC4" i="9"/>
  <c r="AC6" i="9" s="1"/>
  <c r="AC7" i="9" s="1"/>
  <c r="AB4" i="9"/>
  <c r="AB6" i="9" s="1"/>
  <c r="AB7" i="9" s="1"/>
  <c r="AA4" i="9"/>
  <c r="AA6" i="9" s="1"/>
  <c r="AA7" i="9" s="1"/>
  <c r="Z4" i="9"/>
  <c r="Z6" i="9" s="1"/>
  <c r="Z7" i="9" s="1"/>
  <c r="Y4" i="9"/>
  <c r="Y6" i="9" s="1"/>
  <c r="Y7" i="9" s="1"/>
  <c r="X4" i="9"/>
  <c r="X6" i="9" s="1"/>
  <c r="X7" i="9" s="1"/>
  <c r="W4" i="9"/>
  <c r="W6" i="9" s="1"/>
  <c r="W7" i="9" s="1"/>
  <c r="V4" i="9"/>
  <c r="V6" i="9" s="1"/>
  <c r="V7" i="9" s="1"/>
  <c r="U4" i="9"/>
  <c r="U6" i="9" s="1"/>
  <c r="U7" i="9" s="1"/>
  <c r="T4" i="9"/>
  <c r="T6" i="9" s="1"/>
  <c r="T7" i="9" s="1"/>
  <c r="S4" i="9"/>
  <c r="S6" i="9" s="1"/>
  <c r="S7" i="9" s="1"/>
  <c r="R4" i="9"/>
  <c r="R6" i="9" s="1"/>
  <c r="R7" i="9" s="1"/>
  <c r="Q4" i="9"/>
  <c r="Q6" i="9" s="1"/>
  <c r="Q7" i="9" s="1"/>
  <c r="P4" i="9"/>
  <c r="P6" i="9" s="1"/>
  <c r="P7" i="9" s="1"/>
  <c r="O4" i="9"/>
  <c r="O6" i="9" s="1"/>
  <c r="O7" i="9" s="1"/>
  <c r="N4" i="9"/>
  <c r="N6" i="9" s="1"/>
  <c r="N7" i="9" s="1"/>
  <c r="M4" i="9"/>
  <c r="M6" i="9" s="1"/>
  <c r="M7" i="9" s="1"/>
  <c r="BF3" i="9"/>
  <c r="BF4" i="9" s="1"/>
  <c r="BF6" i="9" s="1"/>
  <c r="BF7" i="9" s="1"/>
  <c r="BE3" i="9"/>
  <c r="BB3" i="9"/>
  <c r="AU3" i="9"/>
  <c r="L3" i="9"/>
  <c r="L4" i="9" s="1"/>
  <c r="L6" i="9" s="1"/>
  <c r="L7" i="9" s="1"/>
  <c r="K3" i="9"/>
  <c r="K4" i="9" s="1"/>
  <c r="K6" i="9" s="1"/>
  <c r="K7" i="9" s="1"/>
  <c r="J3" i="9"/>
  <c r="J4" i="9" s="1"/>
  <c r="J6" i="9" s="1"/>
  <c r="J7" i="9" s="1"/>
  <c r="I3" i="9"/>
  <c r="I4" i="9" s="1"/>
  <c r="I6" i="9" s="1"/>
  <c r="I7" i="9" s="1"/>
  <c r="H3" i="9"/>
  <c r="H4" i="9" s="1"/>
  <c r="H6" i="9" s="1"/>
  <c r="H7" i="9" s="1"/>
  <c r="E14" i="8"/>
  <c r="E13" i="8"/>
  <c r="E10" i="8"/>
  <c r="E9" i="8"/>
  <c r="E3" i="8"/>
  <c r="E21" i="8"/>
  <c r="E11" i="8"/>
  <c r="F14" i="8"/>
  <c r="F13" i="8"/>
  <c r="G13" i="8"/>
  <c r="F10" i="8"/>
  <c r="F9" i="8"/>
  <c r="F3" i="8"/>
  <c r="F21" i="8"/>
  <c r="F11" i="8"/>
  <c r="G3" i="8"/>
  <c r="G14" i="8"/>
  <c r="G10" i="8"/>
  <c r="G9" i="8"/>
  <c r="H9" i="8"/>
  <c r="G21" i="8"/>
  <c r="G11" i="8"/>
  <c r="H13" i="8"/>
  <c r="E15" i="9" l="1"/>
  <c r="E17" i="9" s="1"/>
  <c r="F4" i="9"/>
  <c r="F6" i="9" s="1"/>
  <c r="F7" i="9" s="1"/>
  <c r="F15" i="9"/>
  <c r="F17" i="9" s="1"/>
  <c r="G15" i="9"/>
  <c r="G17" i="9" s="1"/>
  <c r="AU4" i="9"/>
  <c r="AU6" i="9" s="1"/>
  <c r="AU7" i="9" s="1"/>
  <c r="AT4" i="9"/>
  <c r="AT6" i="9" s="1"/>
  <c r="AT7" i="9" s="1"/>
  <c r="AS4" i="9"/>
  <c r="AS6" i="9" s="1"/>
  <c r="AS7" i="9" s="1"/>
  <c r="AR4" i="9"/>
  <c r="AR6" i="9" s="1"/>
  <c r="AR7" i="9" s="1"/>
  <c r="BB4" i="9"/>
  <c r="BB6" i="9" s="1"/>
  <c r="BB7" i="9" s="1"/>
  <c r="BA4" i="9"/>
  <c r="BA6" i="9" s="1"/>
  <c r="BA7" i="9" s="1"/>
  <c r="AZ4" i="9"/>
  <c r="AZ6" i="9" s="1"/>
  <c r="AZ7" i="9" s="1"/>
  <c r="AY4" i="9"/>
  <c r="AY6" i="9" s="1"/>
  <c r="AY7" i="9" s="1"/>
  <c r="AX4" i="9"/>
  <c r="AX6" i="9" s="1"/>
  <c r="AX7" i="9" s="1"/>
  <c r="AW4" i="9"/>
  <c r="AW6" i="9" s="1"/>
  <c r="AW7" i="9" s="1"/>
  <c r="AV4" i="9"/>
  <c r="AV6" i="9" s="1"/>
  <c r="AV7" i="9" s="1"/>
  <c r="BE4" i="9"/>
  <c r="BE6" i="9" s="1"/>
  <c r="BE7" i="9" s="1"/>
  <c r="BD4" i="9"/>
  <c r="BD6" i="9" s="1"/>
  <c r="BD7" i="9" s="1"/>
  <c r="H15" i="9"/>
  <c r="H17" i="9" s="1"/>
  <c r="I15" i="9"/>
  <c r="I17" i="9" s="1"/>
  <c r="J15" i="9"/>
  <c r="J17" i="9" s="1"/>
  <c r="K15" i="9"/>
  <c r="K17" i="9" s="1"/>
  <c r="L15" i="9"/>
  <c r="L17" i="9" s="1"/>
  <c r="M15" i="9"/>
  <c r="M17" i="9" s="1"/>
  <c r="N15" i="9"/>
  <c r="N17" i="9" s="1"/>
  <c r="O15" i="9"/>
  <c r="O17" i="9" s="1"/>
  <c r="P15" i="9"/>
  <c r="P17" i="9" s="1"/>
  <c r="Q15" i="9"/>
  <c r="Q17" i="9" s="1"/>
  <c r="R15" i="9"/>
  <c r="R17" i="9" s="1"/>
  <c r="S15" i="9"/>
  <c r="S17" i="9" s="1"/>
  <c r="T15" i="9"/>
  <c r="T17" i="9" s="1"/>
  <c r="U15" i="9"/>
  <c r="U17" i="9" s="1"/>
  <c r="V15" i="9"/>
  <c r="V17" i="9" s="1"/>
  <c r="W15" i="9"/>
  <c r="W17" i="9" s="1"/>
  <c r="X15" i="9"/>
  <c r="X17" i="9" s="1"/>
  <c r="Y15" i="9"/>
  <c r="Y17" i="9" s="1"/>
  <c r="Z15" i="9"/>
  <c r="Z17" i="9" s="1"/>
  <c r="AA15" i="9"/>
  <c r="AA17" i="9" s="1"/>
  <c r="AB15" i="9"/>
  <c r="AB17" i="9" s="1"/>
  <c r="AC15" i="9"/>
  <c r="AC17" i="9" s="1"/>
  <c r="AD15" i="9"/>
  <c r="AD17" i="9" s="1"/>
  <c r="AE17" i="9"/>
  <c r="AF15" i="9"/>
  <c r="AF17" i="9" s="1"/>
  <c r="AG15" i="9"/>
  <c r="AG17" i="9" s="1"/>
  <c r="AH15" i="9"/>
  <c r="AH17" i="9" s="1"/>
  <c r="AI15" i="9"/>
  <c r="AI17" i="9" s="1"/>
  <c r="AJ15" i="9"/>
  <c r="AJ17" i="9" s="1"/>
  <c r="AK15" i="9"/>
  <c r="AK17" i="9" s="1"/>
  <c r="AL15" i="9"/>
  <c r="AL17" i="9" s="1"/>
  <c r="AM15" i="9"/>
  <c r="AM17" i="9" s="1"/>
  <c r="AN15" i="9"/>
  <c r="AN17" i="9" s="1"/>
  <c r="AO15" i="9"/>
  <c r="AO17" i="9" s="1"/>
  <c r="AP15" i="9"/>
  <c r="AP17" i="9" s="1"/>
  <c r="AQ15" i="9"/>
  <c r="AQ17" i="9" s="1"/>
  <c r="AR17" i="9"/>
  <c r="AS17" i="9"/>
  <c r="AT17" i="9"/>
  <c r="AU17" i="9"/>
  <c r="AV17" i="9"/>
  <c r="AW15" i="9"/>
  <c r="AW17" i="9" s="1"/>
  <c r="AX15" i="9"/>
  <c r="AX17" i="9" s="1"/>
  <c r="AY15" i="9"/>
  <c r="AY17" i="9" s="1"/>
  <c r="AZ15" i="9"/>
  <c r="AZ17" i="9" s="1"/>
  <c r="BA15" i="9"/>
  <c r="BA17" i="9" s="1"/>
  <c r="BB15" i="9"/>
  <c r="BB17" i="9" s="1"/>
  <c r="BC15" i="9"/>
  <c r="BC17" i="9" s="1"/>
  <c r="BD15" i="9"/>
  <c r="BD17" i="9" s="1"/>
  <c r="BE15" i="9"/>
  <c r="BE17" i="9" s="1"/>
  <c r="BF15" i="9"/>
  <c r="BF17" i="9" s="1"/>
  <c r="BG15" i="9"/>
  <c r="BG17" i="9" s="1"/>
  <c r="BH15" i="9"/>
  <c r="BH17" i="9" s="1"/>
  <c r="BI15" i="9"/>
  <c r="BI17" i="9" s="1"/>
  <c r="BJ15" i="9"/>
  <c r="BJ17" i="9" s="1"/>
  <c r="BK15" i="9"/>
  <c r="BK17" i="9" s="1"/>
  <c r="BL15" i="9"/>
  <c r="BL17" i="9" s="1"/>
  <c r="BM15" i="9"/>
  <c r="BM17" i="9" s="1"/>
  <c r="BN15" i="9"/>
  <c r="BN17" i="9" s="1"/>
  <c r="BO15" i="9"/>
  <c r="BO17" i="9" s="1"/>
  <c r="BP15" i="9"/>
  <c r="BP17" i="9" s="1"/>
  <c r="BQ15" i="9"/>
  <c r="BQ17" i="9" s="1"/>
  <c r="BR15" i="9"/>
  <c r="BR17" i="9" s="1"/>
  <c r="BS15" i="9"/>
  <c r="BS17" i="9" s="1"/>
  <c r="BT15" i="9"/>
  <c r="BT17" i="9" s="1"/>
  <c r="BU15" i="9"/>
  <c r="BU17" i="9" s="1"/>
  <c r="BV15" i="9"/>
  <c r="BV17" i="9" s="1"/>
  <c r="BW15" i="9"/>
  <c r="BW17" i="9" s="1"/>
  <c r="BX15" i="9"/>
  <c r="BX17" i="9" s="1"/>
  <c r="BY15" i="9"/>
  <c r="BY17" i="9" s="1"/>
  <c r="BZ15" i="9"/>
  <c r="BZ17" i="9" s="1"/>
  <c r="E15" i="8"/>
  <c r="F15" i="8"/>
  <c r="G15" i="8"/>
  <c r="H14" i="8"/>
  <c r="H10" i="8"/>
  <c r="H3" i="8"/>
  <c r="H21" i="8"/>
  <c r="H11" i="8"/>
  <c r="H15" i="8" l="1"/>
  <c r="I9" i="8"/>
  <c r="I13" i="8" l="1"/>
  <c r="I14" i="8"/>
  <c r="I10" i="8"/>
  <c r="I3" i="8"/>
  <c r="E4" i="8" s="1"/>
  <c r="E6" i="8" s="1"/>
  <c r="I21" i="8"/>
  <c r="I11" i="8"/>
  <c r="I4" i="8"/>
  <c r="I6" i="8" s="1"/>
  <c r="I7" i="8" s="1"/>
  <c r="F4" i="8" l="1"/>
  <c r="F6" i="8" s="1"/>
  <c r="F7" i="8" s="1"/>
  <c r="F17" i="8" s="1"/>
  <c r="E7" i="8"/>
  <c r="E17" i="8" s="1"/>
  <c r="H4" i="8"/>
  <c r="H6" i="8" s="1"/>
  <c r="H7" i="8" s="1"/>
  <c r="H17" i="8" s="1"/>
  <c r="G4" i="8"/>
  <c r="G6" i="8" s="1"/>
  <c r="G7" i="8" s="1"/>
  <c r="G17" i="8" s="1"/>
  <c r="I15" i="8"/>
  <c r="I17" i="8" s="1"/>
  <c r="J13" i="8"/>
  <c r="J9" i="8"/>
  <c r="J21" i="8" l="1"/>
  <c r="K21" i="8"/>
  <c r="J14" i="8"/>
  <c r="K14" i="8"/>
  <c r="J10" i="8"/>
  <c r="K10" i="8"/>
  <c r="K9" i="8"/>
  <c r="J4" i="8"/>
  <c r="J6" i="8" s="1"/>
  <c r="K4" i="8"/>
  <c r="K6" i="8" s="1"/>
  <c r="J11" i="8"/>
  <c r="J7" i="8"/>
  <c r="J15" i="8" l="1"/>
  <c r="J17" i="8" s="1"/>
  <c r="K13" i="8"/>
  <c r="K7" i="8" l="1"/>
  <c r="K15" i="8"/>
  <c r="K11" i="8"/>
  <c r="K17" i="8" l="1"/>
  <c r="L14" i="8" l="1"/>
  <c r="L13" i="8"/>
  <c r="L9" i="8"/>
  <c r="L10" i="8"/>
  <c r="L4" i="8"/>
  <c r="L21" i="8" l="1"/>
  <c r="L15" i="8"/>
  <c r="L11" i="8"/>
  <c r="L6" i="8"/>
  <c r="L7" i="8" s="1"/>
  <c r="L17" i="8" l="1"/>
  <c r="M13" i="8"/>
  <c r="M9" i="8"/>
  <c r="M14" i="8"/>
  <c r="M10" i="8"/>
  <c r="M4" i="8"/>
  <c r="M21" i="8" l="1"/>
  <c r="M15" i="8"/>
  <c r="M11" i="8"/>
  <c r="M6" i="8"/>
  <c r="M7" i="8" s="1"/>
  <c r="M17" i="8" l="1"/>
  <c r="N14" i="8" l="1"/>
  <c r="N13" i="8"/>
  <c r="N9" i="8"/>
  <c r="N10" i="8"/>
  <c r="N4" i="8"/>
  <c r="N6" i="8" s="1"/>
  <c r="N7" i="8" s="1"/>
  <c r="N21" i="8"/>
  <c r="O9" i="8"/>
  <c r="N15" i="8" l="1"/>
  <c r="N11" i="8"/>
  <c r="N17" i="8" s="1"/>
  <c r="O14" i="8"/>
  <c r="O13" i="8"/>
  <c r="O10" i="8"/>
  <c r="O4" i="8" l="1"/>
  <c r="O6" i="8" s="1"/>
  <c r="O7" i="8" s="1"/>
  <c r="O21" i="8"/>
  <c r="O15" i="8"/>
  <c r="O11" i="8"/>
  <c r="O17" i="8" l="1"/>
  <c r="P14" i="8"/>
  <c r="P13" i="8"/>
  <c r="P10" i="8"/>
  <c r="P9" i="8"/>
  <c r="P11" i="8" s="1"/>
  <c r="P4" i="8"/>
  <c r="P6" i="8" s="1"/>
  <c r="P7" i="8" s="1"/>
  <c r="P21" i="8"/>
  <c r="P15" i="8" l="1"/>
  <c r="P17" i="8"/>
  <c r="BW21" i="8"/>
  <c r="BV21" i="8"/>
  <c r="BU21" i="8"/>
  <c r="BT21" i="8"/>
  <c r="BS21" i="8"/>
  <c r="BR21" i="8"/>
  <c r="BQ21" i="8"/>
  <c r="BP21" i="8"/>
  <c r="BO21" i="8"/>
  <c r="BN21" i="8"/>
  <c r="BM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BW14" i="8"/>
  <c r="BV14" i="8"/>
  <c r="BU14" i="8"/>
  <c r="BT14" i="8"/>
  <c r="BS14" i="8"/>
  <c r="BR14" i="8"/>
  <c r="BQ14" i="8"/>
  <c r="BP14" i="8"/>
  <c r="BO14" i="8"/>
  <c r="BN14" i="8"/>
  <c r="BM14" i="8"/>
  <c r="BL14" i="8"/>
  <c r="BK14" i="8"/>
  <c r="BJ14" i="8"/>
  <c r="BI14" i="8"/>
  <c r="BH14" i="8"/>
  <c r="BG14" i="8"/>
  <c r="BF14" i="8"/>
  <c r="BE14" i="8"/>
  <c r="BD14" i="8"/>
  <c r="BC14" i="8"/>
  <c r="BB14" i="8"/>
  <c r="BA14" i="8"/>
  <c r="AZ14" i="8"/>
  <c r="AY14" i="8"/>
  <c r="AX14" i="8"/>
  <c r="AW14" i="8"/>
  <c r="AV14" i="8"/>
  <c r="AU14" i="8"/>
  <c r="AT14" i="8"/>
  <c r="AS14" i="8"/>
  <c r="AS15" i="8" s="1"/>
  <c r="AR14" i="8"/>
  <c r="AR15" i="8" s="1"/>
  <c r="AQ14" i="8"/>
  <c r="AQ15" i="8" s="1"/>
  <c r="AP14" i="8"/>
  <c r="AP15" i="8" s="1"/>
  <c r="AO14" i="8"/>
  <c r="AO15" i="8" s="1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B15" i="8" s="1"/>
  <c r="AA14" i="8"/>
  <c r="Z14" i="8"/>
  <c r="Y14" i="8"/>
  <c r="X14" i="8"/>
  <c r="W14" i="8"/>
  <c r="V14" i="8"/>
  <c r="U14" i="8"/>
  <c r="T14" i="8"/>
  <c r="S14" i="8"/>
  <c r="R14" i="8"/>
  <c r="Q14" i="8"/>
  <c r="BW13" i="8"/>
  <c r="BV13" i="8"/>
  <c r="BU13" i="8"/>
  <c r="BT13" i="8"/>
  <c r="BS13" i="8"/>
  <c r="BR13" i="8"/>
  <c r="BQ13" i="8"/>
  <c r="BP13" i="8"/>
  <c r="BO13" i="8"/>
  <c r="BN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A13" i="8"/>
  <c r="Z13" i="8"/>
  <c r="Y13" i="8"/>
  <c r="X13" i="8"/>
  <c r="W13" i="8"/>
  <c r="V13" i="8"/>
  <c r="U13" i="8"/>
  <c r="T13" i="8"/>
  <c r="S13" i="8"/>
  <c r="R13" i="8"/>
  <c r="Q13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AU10" i="8"/>
  <c r="AT10" i="8"/>
  <c r="AS10" i="8"/>
  <c r="AS11" i="8" s="1"/>
  <c r="AR10" i="8"/>
  <c r="AR11" i="8" s="1"/>
  <c r="AQ10" i="8"/>
  <c r="AQ11" i="8" s="1"/>
  <c r="AP10" i="8"/>
  <c r="AP11" i="8" s="1"/>
  <c r="AO10" i="8"/>
  <c r="AO11" i="8" s="1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BK9" i="8"/>
  <c r="BJ9" i="8"/>
  <c r="BI9" i="8"/>
  <c r="BI11" i="8" s="1"/>
  <c r="BH9" i="8"/>
  <c r="BG9" i="8"/>
  <c r="BF9" i="8"/>
  <c r="BF11" i="8" s="1"/>
  <c r="BE9" i="8"/>
  <c r="BD9" i="8"/>
  <c r="BC9" i="8"/>
  <c r="BB9" i="8"/>
  <c r="BA9" i="8"/>
  <c r="BA11" i="8" s="1"/>
  <c r="AZ9" i="8"/>
  <c r="AY9" i="8"/>
  <c r="AX9" i="8"/>
  <c r="AX11" i="8" s="1"/>
  <c r="AW9" i="8"/>
  <c r="AW11" i="8" s="1"/>
  <c r="AV9" i="8"/>
  <c r="AU9" i="8"/>
  <c r="AT9" i="8"/>
  <c r="AN9" i="8"/>
  <c r="AN11" i="8" s="1"/>
  <c r="AM9" i="8"/>
  <c r="AL9" i="8"/>
  <c r="AK9" i="8"/>
  <c r="AK11" i="8" s="1"/>
  <c r="AJ9" i="8"/>
  <c r="AJ11" i="8" s="1"/>
  <c r="AI9" i="8"/>
  <c r="AI11" i="8" s="1"/>
  <c r="AH9" i="8"/>
  <c r="AG9" i="8"/>
  <c r="AF9" i="8"/>
  <c r="AF11" i="8" s="1"/>
  <c r="AE9" i="8"/>
  <c r="AD9" i="8"/>
  <c r="AC9" i="8"/>
  <c r="AC11" i="8" s="1"/>
  <c r="AB9" i="8"/>
  <c r="AB11" i="8" s="1"/>
  <c r="AA9" i="8"/>
  <c r="AA11" i="8" s="1"/>
  <c r="Z9" i="8"/>
  <c r="Y9" i="8"/>
  <c r="X9" i="8"/>
  <c r="X11" i="8" s="1"/>
  <c r="W9" i="8"/>
  <c r="V9" i="8"/>
  <c r="U9" i="8"/>
  <c r="U11" i="8" s="1"/>
  <c r="T9" i="8"/>
  <c r="T11" i="8" s="1"/>
  <c r="S9" i="8"/>
  <c r="S11" i="8" s="1"/>
  <c r="R9" i="8"/>
  <c r="Q9" i="8"/>
  <c r="BW4" i="8"/>
  <c r="BW6" i="8" s="1"/>
  <c r="BW7" i="8" s="1"/>
  <c r="BV4" i="8"/>
  <c r="BV6" i="8" s="1"/>
  <c r="BV7" i="8" s="1"/>
  <c r="BU4" i="8"/>
  <c r="BU6" i="8" s="1"/>
  <c r="BU7" i="8" s="1"/>
  <c r="BT4" i="8"/>
  <c r="BT6" i="8" s="1"/>
  <c r="BT7" i="8" s="1"/>
  <c r="BS4" i="8"/>
  <c r="BS6" i="8" s="1"/>
  <c r="BS7" i="8" s="1"/>
  <c r="BR4" i="8"/>
  <c r="BR6" i="8" s="1"/>
  <c r="BR7" i="8" s="1"/>
  <c r="BQ4" i="8"/>
  <c r="BQ6" i="8" s="1"/>
  <c r="BQ7" i="8" s="1"/>
  <c r="BP4" i="8"/>
  <c r="BP6" i="8" s="1"/>
  <c r="BP7" i="8" s="1"/>
  <c r="BO4" i="8"/>
  <c r="BO6" i="8" s="1"/>
  <c r="BO7" i="8" s="1"/>
  <c r="BN4" i="8"/>
  <c r="BN6" i="8" s="1"/>
  <c r="BN7" i="8" s="1"/>
  <c r="BM4" i="8"/>
  <c r="BM6" i="8" s="1"/>
  <c r="BM7" i="8" s="1"/>
  <c r="BL4" i="8"/>
  <c r="BL6" i="8" s="1"/>
  <c r="BL7" i="8" s="1"/>
  <c r="BK4" i="8"/>
  <c r="BK6" i="8" s="1"/>
  <c r="BK7" i="8" s="1"/>
  <c r="BJ4" i="8"/>
  <c r="BJ6" i="8" s="1"/>
  <c r="BJ7" i="8" s="1"/>
  <c r="BI4" i="8"/>
  <c r="BI6" i="8" s="1"/>
  <c r="BI7" i="8" s="1"/>
  <c r="BH4" i="8"/>
  <c r="BH6" i="8" s="1"/>
  <c r="BH7" i="8" s="1"/>
  <c r="BG4" i="8"/>
  <c r="BG6" i="8" s="1"/>
  <c r="BG7" i="8" s="1"/>
  <c r="BF4" i="8"/>
  <c r="BF6" i="8" s="1"/>
  <c r="BF7" i="8" s="1"/>
  <c r="BE4" i="8"/>
  <c r="BE6" i="8" s="1"/>
  <c r="BE7" i="8" s="1"/>
  <c r="BD4" i="8"/>
  <c r="BD6" i="8" s="1"/>
  <c r="BD7" i="8" s="1"/>
  <c r="AZ4" i="8"/>
  <c r="AZ6" i="8" s="1"/>
  <c r="AZ7" i="8" s="1"/>
  <c r="AN4" i="8"/>
  <c r="AN6" i="8" s="1"/>
  <c r="AN7" i="8" s="1"/>
  <c r="AM4" i="8"/>
  <c r="AM6" i="8" s="1"/>
  <c r="AM7" i="8" s="1"/>
  <c r="AL4" i="8"/>
  <c r="AL6" i="8" s="1"/>
  <c r="AL7" i="8" s="1"/>
  <c r="AK4" i="8"/>
  <c r="AK6" i="8" s="1"/>
  <c r="AK7" i="8" s="1"/>
  <c r="AJ4" i="8"/>
  <c r="AJ6" i="8" s="1"/>
  <c r="AJ7" i="8" s="1"/>
  <c r="AI4" i="8"/>
  <c r="AI6" i="8" s="1"/>
  <c r="AI7" i="8" s="1"/>
  <c r="AH4" i="8"/>
  <c r="AH6" i="8" s="1"/>
  <c r="AH7" i="8" s="1"/>
  <c r="AG4" i="8"/>
  <c r="AG6" i="8" s="1"/>
  <c r="AG7" i="8" s="1"/>
  <c r="AF4" i="8"/>
  <c r="AF6" i="8" s="1"/>
  <c r="AF7" i="8" s="1"/>
  <c r="AE4" i="8"/>
  <c r="AE6" i="8" s="1"/>
  <c r="AE7" i="8" s="1"/>
  <c r="AD4" i="8"/>
  <c r="AD6" i="8" s="1"/>
  <c r="AD7" i="8" s="1"/>
  <c r="AC4" i="8"/>
  <c r="AC6" i="8" s="1"/>
  <c r="AC7" i="8" s="1"/>
  <c r="AB4" i="8"/>
  <c r="AB6" i="8" s="1"/>
  <c r="AB7" i="8" s="1"/>
  <c r="AA4" i="8"/>
  <c r="AA6" i="8" s="1"/>
  <c r="AA7" i="8" s="1"/>
  <c r="Z4" i="8"/>
  <c r="Z6" i="8" s="1"/>
  <c r="Z7" i="8" s="1"/>
  <c r="Y4" i="8"/>
  <c r="Y6" i="8" s="1"/>
  <c r="Y7" i="8" s="1"/>
  <c r="X4" i="8"/>
  <c r="X6" i="8" s="1"/>
  <c r="X7" i="8" s="1"/>
  <c r="W4" i="8"/>
  <c r="W6" i="8" s="1"/>
  <c r="W7" i="8" s="1"/>
  <c r="V4" i="8"/>
  <c r="V6" i="8" s="1"/>
  <c r="V7" i="8" s="1"/>
  <c r="U4" i="8"/>
  <c r="U6" i="8" s="1"/>
  <c r="U7" i="8" s="1"/>
  <c r="T4" i="8"/>
  <c r="T6" i="8" s="1"/>
  <c r="T7" i="8" s="1"/>
  <c r="S4" i="8"/>
  <c r="S6" i="8" s="1"/>
  <c r="S7" i="8" s="1"/>
  <c r="R4" i="8"/>
  <c r="R6" i="8" s="1"/>
  <c r="R7" i="8" s="1"/>
  <c r="Q4" i="8"/>
  <c r="Q6" i="8" s="1"/>
  <c r="Q7" i="8" s="1"/>
  <c r="BC3" i="8"/>
  <c r="BC4" i="8" s="1"/>
  <c r="BC6" i="8" s="1"/>
  <c r="BC7" i="8" s="1"/>
  <c r="BB3" i="8"/>
  <c r="AY3" i="8"/>
  <c r="AX4" i="8" s="1"/>
  <c r="AX6" i="8" s="1"/>
  <c r="AX7" i="8" s="1"/>
  <c r="AR3" i="8"/>
  <c r="R15" i="8" l="1"/>
  <c r="Z15" i="8"/>
  <c r="AI15" i="8"/>
  <c r="BF15" i="8"/>
  <c r="BV15" i="8"/>
  <c r="AH15" i="8"/>
  <c r="AX15" i="8"/>
  <c r="AE15" i="8"/>
  <c r="AM15" i="8"/>
  <c r="BE11" i="8"/>
  <c r="AD15" i="8"/>
  <c r="AL15" i="8"/>
  <c r="AT15" i="8"/>
  <c r="BB15" i="8"/>
  <c r="BJ15" i="8"/>
  <c r="BR15" i="8"/>
  <c r="BN15" i="8"/>
  <c r="BN17" i="8" s="1"/>
  <c r="W15" i="8"/>
  <c r="AU15" i="8"/>
  <c r="BC15" i="8"/>
  <c r="BK15" i="8"/>
  <c r="BS15" i="8"/>
  <c r="Q11" i="8"/>
  <c r="Y11" i="8"/>
  <c r="AG11" i="8"/>
  <c r="X15" i="8"/>
  <c r="AF15" i="8"/>
  <c r="AF17" i="8" s="1"/>
  <c r="AN15" i="8"/>
  <c r="AV15" i="8"/>
  <c r="BD15" i="8"/>
  <c r="BL15" i="8"/>
  <c r="BT15" i="8"/>
  <c r="AP4" i="8"/>
  <c r="AP6" i="8" s="1"/>
  <c r="AP7" i="8" s="1"/>
  <c r="AP17" i="8" s="1"/>
  <c r="R11" i="8"/>
  <c r="Z11" i="8"/>
  <c r="Z17" i="8" s="1"/>
  <c r="AH11" i="8"/>
  <c r="Q15" i="8"/>
  <c r="Y15" i="8"/>
  <c r="BL17" i="8"/>
  <c r="V15" i="8"/>
  <c r="AG15" i="8"/>
  <c r="AG17" i="8" s="1"/>
  <c r="AW15" i="8"/>
  <c r="BE15" i="8"/>
  <c r="BE17" i="8" s="1"/>
  <c r="BM15" i="8"/>
  <c r="BU15" i="8"/>
  <c r="BU17" i="8" s="1"/>
  <c r="BC11" i="8"/>
  <c r="AT11" i="8"/>
  <c r="BK11" i="8"/>
  <c r="AQ4" i="8"/>
  <c r="AQ6" i="8" s="1"/>
  <c r="AQ7" i="8" s="1"/>
  <c r="AQ17" i="8" s="1"/>
  <c r="S15" i="8"/>
  <c r="S17" i="8" s="1"/>
  <c r="AA15" i="8"/>
  <c r="AA17" i="8" s="1"/>
  <c r="AY15" i="8"/>
  <c r="BG15" i="8"/>
  <c r="BO15" i="8"/>
  <c r="BO17" i="8" s="1"/>
  <c r="BW15" i="8"/>
  <c r="BW17" i="8" s="1"/>
  <c r="BJ11" i="8"/>
  <c r="AU11" i="8"/>
  <c r="AU4" i="8"/>
  <c r="AU6" i="8" s="1"/>
  <c r="AU7" i="8" s="1"/>
  <c r="V11" i="8"/>
  <c r="AD11" i="8"/>
  <c r="AL11" i="8"/>
  <c r="AL17" i="8" s="1"/>
  <c r="AY11" i="8"/>
  <c r="BG11" i="8"/>
  <c r="T15" i="8"/>
  <c r="AJ15" i="8"/>
  <c r="AJ17" i="8" s="1"/>
  <c r="AZ15" i="8"/>
  <c r="BH15" i="8"/>
  <c r="BP15" i="8"/>
  <c r="BP17" i="8" s="1"/>
  <c r="BB11" i="8"/>
  <c r="BS17" i="8"/>
  <c r="AY4" i="8"/>
  <c r="AY6" i="8" s="1"/>
  <c r="AY7" i="8" s="1"/>
  <c r="W11" i="8"/>
  <c r="W17" i="8" s="1"/>
  <c r="AE11" i="8"/>
  <c r="AE17" i="8" s="1"/>
  <c r="AM11" i="8"/>
  <c r="AM17" i="8" s="1"/>
  <c r="U15" i="8"/>
  <c r="U17" i="8" s="1"/>
  <c r="AC15" i="8"/>
  <c r="AC17" i="8" s="1"/>
  <c r="AK15" i="8"/>
  <c r="AK17" i="8" s="1"/>
  <c r="BA15" i="8"/>
  <c r="BI15" i="8"/>
  <c r="BI17" i="8" s="1"/>
  <c r="BQ15" i="8"/>
  <c r="T17" i="8"/>
  <c r="X17" i="8"/>
  <c r="AB17" i="8"/>
  <c r="AN17" i="8"/>
  <c r="BT17" i="8"/>
  <c r="R17" i="8"/>
  <c r="AH17" i="8"/>
  <c r="AX17" i="8"/>
  <c r="AV11" i="8"/>
  <c r="AZ11" i="8"/>
  <c r="BD11" i="8"/>
  <c r="BD17" i="8" s="1"/>
  <c r="BH11" i="8"/>
  <c r="Q17" i="8"/>
  <c r="BM17" i="8"/>
  <c r="BQ17" i="8"/>
  <c r="BR17" i="8"/>
  <c r="BF17" i="8"/>
  <c r="BV17" i="8"/>
  <c r="BB4" i="8"/>
  <c r="BB6" i="8" s="1"/>
  <c r="BB7" i="8" s="1"/>
  <c r="BA4" i="8"/>
  <c r="BA6" i="8" s="1"/>
  <c r="BA7" i="8" s="1"/>
  <c r="BA17" i="8" s="1"/>
  <c r="AI17" i="8"/>
  <c r="BK17" i="8"/>
  <c r="AR4" i="8"/>
  <c r="AR6" i="8" s="1"/>
  <c r="AR7" i="8" s="1"/>
  <c r="AR17" i="8" s="1"/>
  <c r="AV4" i="8"/>
  <c r="AV6" i="8" s="1"/>
  <c r="AV7" i="8" s="1"/>
  <c r="AO4" i="8"/>
  <c r="AO6" i="8" s="1"/>
  <c r="AO7" i="8" s="1"/>
  <c r="AO17" i="8" s="1"/>
  <c r="AS4" i="8"/>
  <c r="AS6" i="8" s="1"/>
  <c r="AS7" i="8" s="1"/>
  <c r="AS17" i="8" s="1"/>
  <c r="AW4" i="8"/>
  <c r="AW6" i="8" s="1"/>
  <c r="AW7" i="8" s="1"/>
  <c r="AW17" i="8" s="1"/>
  <c r="AT4" i="8"/>
  <c r="AT6" i="8" s="1"/>
  <c r="AT7" i="8" s="1"/>
  <c r="AT17" i="8" s="1"/>
  <c r="D13" i="7"/>
  <c r="D9" i="7"/>
  <c r="BH17" i="8" l="1"/>
  <c r="AU17" i="8"/>
  <c r="Y17" i="8"/>
  <c r="BB17" i="8"/>
  <c r="AY17" i="8"/>
  <c r="BJ17" i="8"/>
  <c r="BC17" i="8"/>
  <c r="BG17" i="8"/>
  <c r="AD17" i="8"/>
  <c r="AV17" i="8"/>
  <c r="V17" i="8"/>
  <c r="AZ17" i="8"/>
  <c r="D14" i="7"/>
  <c r="D10" i="7"/>
  <c r="D4" i="7" l="1"/>
  <c r="D6" i="7" s="1"/>
  <c r="D7" i="7" s="1"/>
  <c r="D21" i="7"/>
  <c r="D15" i="7"/>
  <c r="D11" i="7"/>
  <c r="D17" i="7" l="1"/>
  <c r="E14" i="7"/>
  <c r="E13" i="7"/>
  <c r="E9" i="7"/>
  <c r="E10" i="7" l="1"/>
  <c r="E4" i="7"/>
  <c r="E21" i="7" l="1"/>
  <c r="E15" i="7"/>
  <c r="E11" i="7"/>
  <c r="E6" i="7"/>
  <c r="E7" i="7" s="1"/>
  <c r="E17" i="7" l="1"/>
  <c r="F13" i="7"/>
  <c r="F14" i="7"/>
  <c r="F9" i="7"/>
  <c r="F10" i="7"/>
  <c r="F4" i="7"/>
  <c r="F21" i="7" l="1"/>
  <c r="F15" i="7"/>
  <c r="F11" i="7"/>
  <c r="F6" i="7"/>
  <c r="F7" i="7" s="1"/>
  <c r="F17" i="7" l="1"/>
  <c r="G13" i="7"/>
  <c r="G9" i="7"/>
  <c r="G14" i="7" l="1"/>
  <c r="G10" i="7"/>
  <c r="G4" i="7" l="1"/>
  <c r="G6" i="7" s="1"/>
  <c r="G7" i="7" s="1"/>
  <c r="G21" i="7"/>
  <c r="G15" i="7"/>
  <c r="G11" i="7"/>
  <c r="G17" i="7" l="1"/>
  <c r="H13" i="7"/>
  <c r="H9" i="7"/>
  <c r="H14" i="7"/>
  <c r="H10" i="7"/>
  <c r="H4" i="7"/>
  <c r="H21" i="7" l="1"/>
  <c r="H15" i="7"/>
  <c r="H11" i="7"/>
  <c r="H6" i="7"/>
  <c r="H7" i="7" s="1"/>
  <c r="H17" i="7" l="1"/>
  <c r="I13" i="7"/>
  <c r="I9" i="7"/>
  <c r="I14" i="7" l="1"/>
  <c r="I10" i="7"/>
  <c r="I4" i="7"/>
  <c r="I21" i="7" l="1"/>
  <c r="I15" i="7"/>
  <c r="I11" i="7"/>
  <c r="I6" i="7"/>
  <c r="I7" i="7" s="1"/>
  <c r="I17" i="7" l="1"/>
  <c r="J13" i="7"/>
  <c r="J9" i="7"/>
  <c r="J14" i="7" l="1"/>
  <c r="J10" i="7"/>
  <c r="J4" i="7"/>
  <c r="J21" i="7" l="1"/>
  <c r="J15" i="7"/>
  <c r="J11" i="7"/>
  <c r="J6" i="7"/>
  <c r="J7" i="7" s="1"/>
  <c r="J17" i="7" l="1"/>
  <c r="K14" i="7"/>
  <c r="K13" i="7"/>
  <c r="K9" i="7"/>
  <c r="K10" i="7"/>
  <c r="K4" i="7"/>
  <c r="K21" i="7" l="1"/>
  <c r="K15" i="7"/>
  <c r="K11" i="7"/>
  <c r="K6" i="7"/>
  <c r="K7" i="7" s="1"/>
  <c r="K17" i="7" l="1"/>
  <c r="L13" i="7" l="1"/>
  <c r="L9" i="7"/>
  <c r="L14" i="7" l="1"/>
  <c r="L10" i="7"/>
  <c r="L4" i="7"/>
  <c r="L21" i="7" l="1"/>
  <c r="L15" i="7"/>
  <c r="L11" i="7"/>
  <c r="L6" i="7"/>
  <c r="L7" i="7" s="1"/>
  <c r="L17" i="7" l="1"/>
  <c r="M14" i="7"/>
  <c r="M13" i="7"/>
  <c r="M9" i="7"/>
  <c r="M10" i="7"/>
  <c r="M4" i="7"/>
  <c r="M21" i="7" l="1"/>
  <c r="M15" i="7"/>
  <c r="M11" i="7"/>
  <c r="M6" i="7"/>
  <c r="M7" i="7" s="1"/>
  <c r="M17" i="7" l="1"/>
  <c r="N14" i="7"/>
  <c r="N13" i="7"/>
  <c r="N10" i="7"/>
  <c r="N9" i="7"/>
  <c r="N4" i="7" l="1"/>
  <c r="N6" i="7" s="1"/>
  <c r="N7" i="7" s="1"/>
  <c r="N21" i="7"/>
  <c r="N15" i="7"/>
  <c r="N11" i="7"/>
  <c r="N17" i="7" l="1"/>
  <c r="O14" i="7"/>
  <c r="O10" i="7"/>
  <c r="O9" i="7"/>
  <c r="O4" i="7" l="1"/>
  <c r="O21" i="7" l="1"/>
  <c r="O15" i="7"/>
  <c r="O11" i="7"/>
  <c r="O6" i="7"/>
  <c r="O7" i="7" s="1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AC15" i="7"/>
  <c r="BJ14" i="7"/>
  <c r="BJ15" i="7" s="1"/>
  <c r="BJ17" i="7" s="1"/>
  <c r="BI14" i="7"/>
  <c r="BH14" i="7"/>
  <c r="BG14" i="7"/>
  <c r="BF14" i="7"/>
  <c r="BF15" i="7" s="1"/>
  <c r="BF17" i="7" s="1"/>
  <c r="BE14" i="7"/>
  <c r="BE15" i="7" s="1"/>
  <c r="BE17" i="7" s="1"/>
  <c r="BD14" i="7"/>
  <c r="BC14" i="7"/>
  <c r="BB14" i="7"/>
  <c r="BB15" i="7" s="1"/>
  <c r="BB17" i="7" s="1"/>
  <c r="BA14" i="7"/>
  <c r="AZ14" i="7"/>
  <c r="AY14" i="7"/>
  <c r="AX14" i="7"/>
  <c r="AX15" i="7" s="1"/>
  <c r="AW14" i="7"/>
  <c r="AV14" i="7"/>
  <c r="AV15" i="7" s="1"/>
  <c r="AU14" i="7"/>
  <c r="AT14" i="7"/>
  <c r="AT15" i="7" s="1"/>
  <c r="AS14" i="7"/>
  <c r="AR14" i="7"/>
  <c r="AR15" i="7" s="1"/>
  <c r="AQ14" i="7"/>
  <c r="AP14" i="7"/>
  <c r="AP15" i="7" s="1"/>
  <c r="AO14" i="7"/>
  <c r="AO15" i="7" s="1"/>
  <c r="AN14" i="7"/>
  <c r="AN15" i="7" s="1"/>
  <c r="AM14" i="7"/>
  <c r="AL14" i="7"/>
  <c r="AL15" i="7" s="1"/>
  <c r="AK14" i="7"/>
  <c r="AK15" i="7" s="1"/>
  <c r="AJ14" i="7"/>
  <c r="AJ15" i="7" s="1"/>
  <c r="AI14" i="7"/>
  <c r="AH14" i="7"/>
  <c r="AH15" i="7" s="1"/>
  <c r="AG14" i="7"/>
  <c r="AF14" i="7"/>
  <c r="AF15" i="7" s="1"/>
  <c r="AE14" i="7"/>
  <c r="AE15" i="7" s="1"/>
  <c r="AD14" i="7"/>
  <c r="AD15" i="7" s="1"/>
  <c r="AC14" i="7"/>
  <c r="AB14" i="7"/>
  <c r="AB15" i="7" s="1"/>
  <c r="AA14" i="7"/>
  <c r="AA15" i="7" s="1"/>
  <c r="Z14" i="7"/>
  <c r="Z15" i="7" s="1"/>
  <c r="Y14" i="7"/>
  <c r="Y15" i="7" s="1"/>
  <c r="X14" i="7"/>
  <c r="W14" i="7"/>
  <c r="W15" i="7" s="1"/>
  <c r="V14" i="7"/>
  <c r="V15" i="7" s="1"/>
  <c r="U14" i="7"/>
  <c r="U15" i="7" s="1"/>
  <c r="U17" i="7" s="1"/>
  <c r="T14" i="7"/>
  <c r="S14" i="7"/>
  <c r="S15" i="7" s="1"/>
  <c r="R14" i="7"/>
  <c r="R15" i="7" s="1"/>
  <c r="Q14" i="7"/>
  <c r="P14" i="7"/>
  <c r="BJ13" i="7"/>
  <c r="BI13" i="7"/>
  <c r="BI15" i="7" s="1"/>
  <c r="BH13" i="7"/>
  <c r="BG13" i="7"/>
  <c r="BF13" i="7"/>
  <c r="BE13" i="7"/>
  <c r="BD13" i="7"/>
  <c r="BC13" i="7"/>
  <c r="BB13" i="7"/>
  <c r="BA13" i="7"/>
  <c r="BA15" i="7" s="1"/>
  <c r="BA17" i="7" s="1"/>
  <c r="AZ13" i="7"/>
  <c r="AY13" i="7"/>
  <c r="AX13" i="7"/>
  <c r="AW13" i="7"/>
  <c r="AW15" i="7" s="1"/>
  <c r="AV13" i="7"/>
  <c r="AU13" i="7"/>
  <c r="AT13" i="7"/>
  <c r="AS13" i="7"/>
  <c r="AS15" i="7" s="1"/>
  <c r="AR13" i="7"/>
  <c r="AQ13" i="7"/>
  <c r="AP13" i="7"/>
  <c r="AO13" i="7"/>
  <c r="AN13" i="7"/>
  <c r="AM13" i="7"/>
  <c r="AL13" i="7"/>
  <c r="AK13" i="7"/>
  <c r="AJ13" i="7"/>
  <c r="AI13" i="7"/>
  <c r="AH13" i="7"/>
  <c r="AG13" i="7"/>
  <c r="AG15" i="7" s="1"/>
  <c r="AA13" i="7"/>
  <c r="Z13" i="7"/>
  <c r="Y13" i="7"/>
  <c r="X13" i="7"/>
  <c r="W13" i="7"/>
  <c r="V13" i="7"/>
  <c r="U13" i="7"/>
  <c r="T13" i="7"/>
  <c r="S13" i="7"/>
  <c r="R13" i="7"/>
  <c r="Q13" i="7"/>
  <c r="Q15" i="7" s="1"/>
  <c r="P13" i="7"/>
  <c r="AK11" i="7"/>
  <c r="U11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F11" i="7" s="1"/>
  <c r="AE10" i="7"/>
  <c r="AE11" i="7" s="1"/>
  <c r="AD10" i="7"/>
  <c r="AD11" i="7" s="1"/>
  <c r="AC10" i="7"/>
  <c r="AC11" i="7" s="1"/>
  <c r="AB10" i="7"/>
  <c r="AB11" i="7" s="1"/>
  <c r="AA10" i="7"/>
  <c r="Z10" i="7"/>
  <c r="Y10" i="7"/>
  <c r="X10" i="7"/>
  <c r="W10" i="7"/>
  <c r="V10" i="7"/>
  <c r="U10" i="7"/>
  <c r="T10" i="7"/>
  <c r="S10" i="7"/>
  <c r="R10" i="7"/>
  <c r="Q10" i="7"/>
  <c r="P10" i="7"/>
  <c r="AX9" i="7"/>
  <c r="AW9" i="7"/>
  <c r="AW11" i="7" s="1"/>
  <c r="AV9" i="7"/>
  <c r="AU9" i="7"/>
  <c r="AU11" i="7" s="1"/>
  <c r="AT9" i="7"/>
  <c r="AS9" i="7"/>
  <c r="AS11" i="7" s="1"/>
  <c r="AR9" i="7"/>
  <c r="AQ9" i="7"/>
  <c r="AQ11" i="7" s="1"/>
  <c r="AP9" i="7"/>
  <c r="AO9" i="7"/>
  <c r="AO11" i="7" s="1"/>
  <c r="AN9" i="7"/>
  <c r="AM9" i="7"/>
  <c r="AM11" i="7" s="1"/>
  <c r="AL9" i="7"/>
  <c r="AK9" i="7"/>
  <c r="AJ9" i="7"/>
  <c r="AI9" i="7"/>
  <c r="AI11" i="7" s="1"/>
  <c r="AH9" i="7"/>
  <c r="AG9" i="7"/>
  <c r="AG11" i="7" s="1"/>
  <c r="AA9" i="7"/>
  <c r="AA11" i="7" s="1"/>
  <c r="Z9" i="7"/>
  <c r="Z11" i="7" s="1"/>
  <c r="Y9" i="7"/>
  <c r="Y11" i="7" s="1"/>
  <c r="X9" i="7"/>
  <c r="W9" i="7"/>
  <c r="W11" i="7" s="1"/>
  <c r="V9" i="7"/>
  <c r="V11" i="7" s="1"/>
  <c r="U9" i="7"/>
  <c r="T9" i="7"/>
  <c r="S9" i="7"/>
  <c r="S11" i="7" s="1"/>
  <c r="R9" i="7"/>
  <c r="R11" i="7" s="1"/>
  <c r="Q9" i="7"/>
  <c r="Q11" i="7" s="1"/>
  <c r="P9" i="7"/>
  <c r="BH6" i="7"/>
  <c r="BH7" i="7" s="1"/>
  <c r="BD6" i="7"/>
  <c r="BD7" i="7" s="1"/>
  <c r="AV6" i="7"/>
  <c r="AV7" i="7" s="1"/>
  <c r="AR6" i="7"/>
  <c r="AR7" i="7" s="1"/>
  <c r="X6" i="7"/>
  <c r="X7" i="7" s="1"/>
  <c r="BJ4" i="7"/>
  <c r="BJ6" i="7" s="1"/>
  <c r="BJ7" i="7" s="1"/>
  <c r="BI4" i="7"/>
  <c r="BI6" i="7" s="1"/>
  <c r="BI7" i="7" s="1"/>
  <c r="BH4" i="7"/>
  <c r="BG4" i="7"/>
  <c r="BG6" i="7" s="1"/>
  <c r="BG7" i="7" s="1"/>
  <c r="BF4" i="7"/>
  <c r="BF6" i="7" s="1"/>
  <c r="BF7" i="7" s="1"/>
  <c r="BE4" i="7"/>
  <c r="BE6" i="7" s="1"/>
  <c r="BE7" i="7" s="1"/>
  <c r="BD4" i="7"/>
  <c r="BC4" i="7"/>
  <c r="BC6" i="7" s="1"/>
  <c r="BC7" i="7" s="1"/>
  <c r="BB4" i="7"/>
  <c r="BB6" i="7" s="1"/>
  <c r="BB7" i="7" s="1"/>
  <c r="BA4" i="7"/>
  <c r="BA6" i="7" s="1"/>
  <c r="BA7" i="7" s="1"/>
  <c r="AZ4" i="7"/>
  <c r="AZ6" i="7" s="1"/>
  <c r="AZ7" i="7" s="1"/>
  <c r="AY4" i="7"/>
  <c r="AY6" i="7" s="1"/>
  <c r="AY7" i="7" s="1"/>
  <c r="AX4" i="7"/>
  <c r="AX6" i="7" s="1"/>
  <c r="AX7" i="7" s="1"/>
  <c r="AW4" i="7"/>
  <c r="AW6" i="7" s="1"/>
  <c r="AW7" i="7" s="1"/>
  <c r="AV4" i="7"/>
  <c r="AU4" i="7"/>
  <c r="AU6" i="7" s="1"/>
  <c r="AU7" i="7" s="1"/>
  <c r="AT4" i="7"/>
  <c r="AT6" i="7" s="1"/>
  <c r="AT7" i="7" s="1"/>
  <c r="AS4" i="7"/>
  <c r="AS6" i="7" s="1"/>
  <c r="AS7" i="7" s="1"/>
  <c r="AR4" i="7"/>
  <c r="AQ4" i="7"/>
  <c r="AQ6" i="7" s="1"/>
  <c r="AQ7" i="7" s="1"/>
  <c r="AM4" i="7"/>
  <c r="AM6" i="7" s="1"/>
  <c r="AM7" i="7" s="1"/>
  <c r="AA4" i="7"/>
  <c r="AA6" i="7" s="1"/>
  <c r="AA7" i="7" s="1"/>
  <c r="Z4" i="7"/>
  <c r="Z6" i="7" s="1"/>
  <c r="Z7" i="7" s="1"/>
  <c r="Y4" i="7"/>
  <c r="Y6" i="7" s="1"/>
  <c r="Y7" i="7" s="1"/>
  <c r="X4" i="7"/>
  <c r="W4" i="7"/>
  <c r="W6" i="7" s="1"/>
  <c r="W7" i="7" s="1"/>
  <c r="V4" i="7"/>
  <c r="V6" i="7" s="1"/>
  <c r="V7" i="7" s="1"/>
  <c r="U4" i="7"/>
  <c r="U6" i="7" s="1"/>
  <c r="U7" i="7" s="1"/>
  <c r="T4" i="7"/>
  <c r="T6" i="7" s="1"/>
  <c r="T7" i="7" s="1"/>
  <c r="S4" i="7"/>
  <c r="S6" i="7" s="1"/>
  <c r="S7" i="7" s="1"/>
  <c r="R4" i="7"/>
  <c r="R6" i="7" s="1"/>
  <c r="R7" i="7" s="1"/>
  <c r="Q4" i="7"/>
  <c r="Q6" i="7" s="1"/>
  <c r="Q7" i="7" s="1"/>
  <c r="P4" i="7"/>
  <c r="P6" i="7" s="1"/>
  <c r="P7" i="7" s="1"/>
  <c r="AP3" i="7"/>
  <c r="AP4" i="7" s="1"/>
  <c r="AP6" i="7" s="1"/>
  <c r="AP7" i="7" s="1"/>
  <c r="AO3" i="7"/>
  <c r="AO4" i="7" s="1"/>
  <c r="AO6" i="7" s="1"/>
  <c r="AO7" i="7" s="1"/>
  <c r="AL3" i="7"/>
  <c r="AL4" i="7" s="1"/>
  <c r="AL6" i="7" s="1"/>
  <c r="AL7" i="7" s="1"/>
  <c r="AE3" i="7"/>
  <c r="Y17" i="7" l="1"/>
  <c r="AO17" i="7"/>
  <c r="AJ11" i="7"/>
  <c r="AN11" i="7"/>
  <c r="AR11" i="7"/>
  <c r="AV11" i="7"/>
  <c r="AI15" i="7"/>
  <c r="AM15" i="7"/>
  <c r="AM17" i="7" s="1"/>
  <c r="AQ15" i="7"/>
  <c r="AU15" i="7"/>
  <c r="AY15" i="7"/>
  <c r="BC15" i="7"/>
  <c r="BC17" i="7" s="1"/>
  <c r="BG15" i="7"/>
  <c r="AI4" i="7"/>
  <c r="AI6" i="7" s="1"/>
  <c r="AI7" i="7" s="1"/>
  <c r="P11" i="7"/>
  <c r="T11" i="7"/>
  <c r="T17" i="7" s="1"/>
  <c r="X11" i="7"/>
  <c r="P15" i="7"/>
  <c r="T15" i="7"/>
  <c r="X15" i="7"/>
  <c r="X17" i="7" s="1"/>
  <c r="AR17" i="7"/>
  <c r="AZ15" i="7"/>
  <c r="AZ17" i="7" s="1"/>
  <c r="BD15" i="7"/>
  <c r="BD17" i="7" s="1"/>
  <c r="BH15" i="7"/>
  <c r="BH17" i="7" s="1"/>
  <c r="AB4" i="7"/>
  <c r="AB6" i="7" s="1"/>
  <c r="AB7" i="7" s="1"/>
  <c r="AB17" i="7" s="1"/>
  <c r="AE4" i="7"/>
  <c r="AE6" i="7" s="1"/>
  <c r="AE7" i="7" s="1"/>
  <c r="AH11" i="7"/>
  <c r="AL11" i="7"/>
  <c r="AP11" i="7"/>
  <c r="AT11" i="7"/>
  <c r="AT17" i="7" s="1"/>
  <c r="AX11" i="7"/>
  <c r="AX17" i="7" s="1"/>
  <c r="O17" i="7"/>
  <c r="R17" i="7"/>
  <c r="V17" i="7"/>
  <c r="Z17" i="7"/>
  <c r="AL17" i="7"/>
  <c r="AP17" i="7"/>
  <c r="AS17" i="7"/>
  <c r="BI17" i="7"/>
  <c r="S17" i="7"/>
  <c r="W17" i="7"/>
  <c r="AA17" i="7"/>
  <c r="AE17" i="7"/>
  <c r="AI17" i="7"/>
  <c r="AQ17" i="7"/>
  <c r="AU17" i="7"/>
  <c r="AY17" i="7"/>
  <c r="BG17" i="7"/>
  <c r="Q17" i="7"/>
  <c r="AW17" i="7"/>
  <c r="P17" i="7"/>
  <c r="AV17" i="7"/>
  <c r="AF4" i="7"/>
  <c r="AF6" i="7" s="1"/>
  <c r="AF7" i="7" s="1"/>
  <c r="AF17" i="7" s="1"/>
  <c r="AJ4" i="7"/>
  <c r="AJ6" i="7" s="1"/>
  <c r="AJ7" i="7" s="1"/>
  <c r="AJ17" i="7" s="1"/>
  <c r="AN4" i="7"/>
  <c r="AN6" i="7" s="1"/>
  <c r="AN7" i="7" s="1"/>
  <c r="AN17" i="7" s="1"/>
  <c r="AC4" i="7"/>
  <c r="AC6" i="7" s="1"/>
  <c r="AC7" i="7" s="1"/>
  <c r="AC17" i="7" s="1"/>
  <c r="AG4" i="7"/>
  <c r="AG6" i="7" s="1"/>
  <c r="AG7" i="7" s="1"/>
  <c r="AG17" i="7" s="1"/>
  <c r="AK4" i="7"/>
  <c r="AK6" i="7" s="1"/>
  <c r="AK7" i="7" s="1"/>
  <c r="AK17" i="7" s="1"/>
  <c r="AD4" i="7"/>
  <c r="AD6" i="7" s="1"/>
  <c r="AD7" i="7" s="1"/>
  <c r="AD17" i="7" s="1"/>
  <c r="AH4" i="7"/>
  <c r="AH6" i="7" s="1"/>
  <c r="AH7" i="7" s="1"/>
  <c r="AH17" i="7" s="1"/>
  <c r="D14" i="6"/>
  <c r="D15" i="6" s="1"/>
  <c r="D13" i="6"/>
  <c r="D10" i="6"/>
  <c r="D9" i="6"/>
  <c r="D4" i="6"/>
  <c r="D6" i="6" s="1"/>
  <c r="D7" i="6" s="1"/>
  <c r="D21" i="6"/>
  <c r="D11" i="6" l="1"/>
  <c r="D17" i="6"/>
  <c r="E14" i="6"/>
  <c r="E13" i="6"/>
  <c r="E10" i="6"/>
  <c r="E9" i="6"/>
  <c r="E4" i="6" l="1"/>
  <c r="E6" i="6" s="1"/>
  <c r="E7" i="6" s="1"/>
  <c r="E21" i="6"/>
  <c r="E15" i="6"/>
  <c r="E11" i="6"/>
  <c r="E17" i="6" l="1"/>
  <c r="F21" i="6" l="1"/>
  <c r="F14" i="6"/>
  <c r="F13" i="6"/>
  <c r="F10" i="6"/>
  <c r="F9" i="6"/>
  <c r="F4" i="6"/>
  <c r="F6" i="6" s="1"/>
  <c r="F7" i="6" s="1"/>
  <c r="F15" i="6" l="1"/>
  <c r="F17" i="6" s="1"/>
  <c r="F11" i="6"/>
  <c r="G21" i="6" l="1"/>
  <c r="G14" i="6"/>
  <c r="G13" i="6"/>
  <c r="G10" i="6"/>
  <c r="G9" i="6"/>
  <c r="G4" i="6"/>
  <c r="G6" i="6" s="1"/>
  <c r="G7" i="6" s="1"/>
  <c r="G15" i="6" l="1"/>
  <c r="G17" i="6" s="1"/>
  <c r="G11" i="6"/>
  <c r="H14" i="6" l="1"/>
  <c r="H13" i="6"/>
  <c r="H10" i="6"/>
  <c r="H9" i="6"/>
  <c r="H4" i="6"/>
  <c r="H21" i="6" l="1"/>
  <c r="H15" i="6"/>
  <c r="H11" i="6"/>
  <c r="H6" i="6"/>
  <c r="H7" i="6" s="1"/>
  <c r="H17" i="6" l="1"/>
  <c r="I13" i="6"/>
  <c r="I10" i="6"/>
  <c r="I11" i="6" s="1"/>
  <c r="I14" i="6"/>
  <c r="I9" i="6"/>
  <c r="I4" i="6"/>
  <c r="I6" i="6" s="1"/>
  <c r="I7" i="6" s="1"/>
  <c r="I21" i="6"/>
  <c r="I15" i="6" l="1"/>
  <c r="I17" i="6"/>
  <c r="J14" i="6"/>
  <c r="J13" i="6"/>
  <c r="J10" i="6"/>
  <c r="J9" i="6"/>
  <c r="J4" i="6" l="1"/>
  <c r="J21" i="6" l="1"/>
  <c r="J15" i="6"/>
  <c r="J11" i="6"/>
  <c r="J6" i="6"/>
  <c r="J7" i="6" s="1"/>
  <c r="J17" i="6" l="1"/>
  <c r="K14" i="6"/>
  <c r="K13" i="6"/>
  <c r="K10" i="6"/>
  <c r="K9" i="6"/>
  <c r="K4" i="6" l="1"/>
  <c r="K21" i="6" l="1"/>
  <c r="K15" i="6"/>
  <c r="K11" i="6"/>
  <c r="K6" i="6"/>
  <c r="K7" i="6" s="1"/>
  <c r="K17" i="6" l="1"/>
  <c r="L14" i="6"/>
  <c r="L13" i="6"/>
  <c r="L9" i="6"/>
  <c r="L10" i="6"/>
  <c r="L4" i="6" l="1"/>
  <c r="L6" i="6" s="1"/>
  <c r="L7" i="6" s="1"/>
  <c r="L21" i="6"/>
  <c r="L15" i="6"/>
  <c r="L11" i="6"/>
  <c r="L17" i="6" l="1"/>
  <c r="M9" i="6"/>
  <c r="M14" i="6" l="1"/>
  <c r="M13" i="6"/>
  <c r="M11" i="6"/>
  <c r="M4" i="6"/>
  <c r="M6" i="6" s="1"/>
  <c r="M7" i="6" s="1"/>
  <c r="M10" i="6"/>
  <c r="M21" i="6"/>
  <c r="M15" i="6" l="1"/>
  <c r="M17" i="6" s="1"/>
  <c r="N14" i="6" l="1"/>
  <c r="N13" i="6"/>
  <c r="N10" i="6"/>
  <c r="N9" i="6"/>
  <c r="N4" i="6"/>
  <c r="N21" i="6" l="1"/>
  <c r="N15" i="6"/>
  <c r="N11" i="6"/>
  <c r="N6" i="6"/>
  <c r="N7" i="6" s="1"/>
  <c r="N17" i="6" l="1"/>
  <c r="O21" i="6"/>
  <c r="O13" i="6"/>
  <c r="O14" i="6"/>
  <c r="O15" i="6" s="1"/>
  <c r="O9" i="6"/>
  <c r="O10" i="6"/>
  <c r="O11" i="6" l="1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AX14" i="6"/>
  <c r="AW14" i="6"/>
  <c r="AV14" i="6"/>
  <c r="AV15" i="6" s="1"/>
  <c r="AU14" i="6"/>
  <c r="AT14" i="6"/>
  <c r="AS14" i="6"/>
  <c r="AR14" i="6"/>
  <c r="AQ14" i="6"/>
  <c r="AP14" i="6"/>
  <c r="AO14" i="6"/>
  <c r="AN14" i="6"/>
  <c r="AN15" i="6" s="1"/>
  <c r="AM14" i="6"/>
  <c r="AL14" i="6"/>
  <c r="AK14" i="6"/>
  <c r="AJ14" i="6"/>
  <c r="AI14" i="6"/>
  <c r="AH14" i="6"/>
  <c r="AG14" i="6"/>
  <c r="AF14" i="6"/>
  <c r="AF15" i="6" s="1"/>
  <c r="AE14" i="6"/>
  <c r="AD14" i="6"/>
  <c r="AC14" i="6"/>
  <c r="AB14" i="6"/>
  <c r="AA14" i="6"/>
  <c r="Z14" i="6"/>
  <c r="Y14" i="6"/>
  <c r="X14" i="6"/>
  <c r="X15" i="6" s="1"/>
  <c r="W14" i="6"/>
  <c r="V14" i="6"/>
  <c r="U14" i="6"/>
  <c r="T14" i="6"/>
  <c r="T15" i="6" s="1"/>
  <c r="S14" i="6"/>
  <c r="S15" i="6" s="1"/>
  <c r="R14" i="6"/>
  <c r="R15" i="6" s="1"/>
  <c r="Q14" i="6"/>
  <c r="Q15" i="6" s="1"/>
  <c r="P14" i="6"/>
  <c r="P15" i="6" s="1"/>
  <c r="AX13" i="6"/>
  <c r="AW13" i="6"/>
  <c r="AV13" i="6"/>
  <c r="AU13" i="6"/>
  <c r="AT13" i="6"/>
  <c r="AT15" i="6" s="1"/>
  <c r="AS13" i="6"/>
  <c r="AR13" i="6"/>
  <c r="AQ13" i="6"/>
  <c r="AP13" i="6"/>
  <c r="AO13" i="6"/>
  <c r="AN13" i="6"/>
  <c r="AM13" i="6"/>
  <c r="AL13" i="6"/>
  <c r="AL15" i="6" s="1"/>
  <c r="AK13" i="6"/>
  <c r="AJ13" i="6"/>
  <c r="AI13" i="6"/>
  <c r="AH13" i="6"/>
  <c r="AG13" i="6"/>
  <c r="AF13" i="6"/>
  <c r="AE13" i="6"/>
  <c r="AD13" i="6"/>
  <c r="AD15" i="6" s="1"/>
  <c r="AC13" i="6"/>
  <c r="AB13" i="6"/>
  <c r="AA13" i="6"/>
  <c r="Z13" i="6"/>
  <c r="Y13" i="6"/>
  <c r="X13" i="6"/>
  <c r="W13" i="6"/>
  <c r="V13" i="6"/>
  <c r="V15" i="6" s="1"/>
  <c r="U13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T11" i="6" s="1"/>
  <c r="S10" i="6"/>
  <c r="S11" i="6" s="1"/>
  <c r="R10" i="6"/>
  <c r="R11" i="6" s="1"/>
  <c r="Q10" i="6"/>
  <c r="Q11" i="6" s="1"/>
  <c r="P10" i="6"/>
  <c r="P11" i="6" s="1"/>
  <c r="AL9" i="6"/>
  <c r="AK9" i="6"/>
  <c r="AJ9" i="6"/>
  <c r="AI9" i="6"/>
  <c r="AI11" i="6" s="1"/>
  <c r="AH9" i="6"/>
  <c r="AG9" i="6"/>
  <c r="AF9" i="6"/>
  <c r="AE9" i="6"/>
  <c r="AD9" i="6"/>
  <c r="AC9" i="6"/>
  <c r="AB9" i="6"/>
  <c r="AA9" i="6"/>
  <c r="AA11" i="6" s="1"/>
  <c r="Z9" i="6"/>
  <c r="Y9" i="6"/>
  <c r="X9" i="6"/>
  <c r="W9" i="6"/>
  <c r="V9" i="6"/>
  <c r="U9" i="6"/>
  <c r="AJ6" i="6"/>
  <c r="AJ7" i="6" s="1"/>
  <c r="AX4" i="6"/>
  <c r="AX6" i="6" s="1"/>
  <c r="AX7" i="6" s="1"/>
  <c r="AW4" i="6"/>
  <c r="AW6" i="6" s="1"/>
  <c r="AW7" i="6" s="1"/>
  <c r="AV4" i="6"/>
  <c r="AV6" i="6" s="1"/>
  <c r="AV7" i="6" s="1"/>
  <c r="AU4" i="6"/>
  <c r="AU6" i="6" s="1"/>
  <c r="AU7" i="6" s="1"/>
  <c r="AT4" i="6"/>
  <c r="AT6" i="6" s="1"/>
  <c r="AT7" i="6" s="1"/>
  <c r="AS4" i="6"/>
  <c r="AS6" i="6" s="1"/>
  <c r="AS7" i="6" s="1"/>
  <c r="AR4" i="6"/>
  <c r="AR6" i="6" s="1"/>
  <c r="AR7" i="6" s="1"/>
  <c r="AQ4" i="6"/>
  <c r="AQ6" i="6" s="1"/>
  <c r="AQ7" i="6" s="1"/>
  <c r="AP4" i="6"/>
  <c r="AP6" i="6" s="1"/>
  <c r="AP7" i="6" s="1"/>
  <c r="AO4" i="6"/>
  <c r="AO6" i="6" s="1"/>
  <c r="AO7" i="6" s="1"/>
  <c r="AN4" i="6"/>
  <c r="AN6" i="6" s="1"/>
  <c r="AN7" i="6" s="1"/>
  <c r="AM4" i="6"/>
  <c r="AM6" i="6" s="1"/>
  <c r="AM7" i="6" s="1"/>
  <c r="AL4" i="6"/>
  <c r="AL6" i="6" s="1"/>
  <c r="AL7" i="6" s="1"/>
  <c r="AK4" i="6"/>
  <c r="AK6" i="6" s="1"/>
  <c r="AK7" i="6" s="1"/>
  <c r="AJ4" i="6"/>
  <c r="AI4" i="6"/>
  <c r="AI6" i="6" s="1"/>
  <c r="AI7" i="6" s="1"/>
  <c r="AH4" i="6"/>
  <c r="AH6" i="6" s="1"/>
  <c r="AH7" i="6" s="1"/>
  <c r="AG4" i="6"/>
  <c r="AG6" i="6" s="1"/>
  <c r="AG7" i="6" s="1"/>
  <c r="AF4" i="6"/>
  <c r="AF6" i="6" s="1"/>
  <c r="AF7" i="6" s="1"/>
  <c r="AE4" i="6"/>
  <c r="AE6" i="6" s="1"/>
  <c r="AE7" i="6" s="1"/>
  <c r="AA4" i="6"/>
  <c r="AA6" i="6" s="1"/>
  <c r="AA7" i="6" s="1"/>
  <c r="O4" i="6"/>
  <c r="O6" i="6" s="1"/>
  <c r="O7" i="6" s="1"/>
  <c r="O17" i="6" s="1"/>
  <c r="AD3" i="6"/>
  <c r="AD4" i="6" s="1"/>
  <c r="AD6" i="6" s="1"/>
  <c r="AD7" i="6" s="1"/>
  <c r="AC3" i="6"/>
  <c r="Z3" i="6"/>
  <c r="W4" i="6" s="1"/>
  <c r="W6" i="6" s="1"/>
  <c r="W7" i="6" s="1"/>
  <c r="S3" i="6"/>
  <c r="AN17" i="6" l="1"/>
  <c r="AV17" i="6"/>
  <c r="R4" i="6"/>
  <c r="R6" i="6" s="1"/>
  <c r="R7" i="6" s="1"/>
  <c r="X11" i="6"/>
  <c r="AF11" i="6"/>
  <c r="AF17" i="6" s="1"/>
  <c r="AI15" i="6"/>
  <c r="AI17" i="6" s="1"/>
  <c r="AQ15" i="6"/>
  <c r="Y15" i="6"/>
  <c r="AG15" i="6"/>
  <c r="AO15" i="6"/>
  <c r="AO17" i="6" s="1"/>
  <c r="AW15" i="6"/>
  <c r="AW17" i="6" s="1"/>
  <c r="V4" i="6"/>
  <c r="V6" i="6" s="1"/>
  <c r="V7" i="6" s="1"/>
  <c r="X4" i="6"/>
  <c r="X6" i="6" s="1"/>
  <c r="X7" i="6" s="1"/>
  <c r="W11" i="6"/>
  <c r="AE11" i="6"/>
  <c r="AJ11" i="6"/>
  <c r="AB11" i="6"/>
  <c r="W15" i="6"/>
  <c r="W17" i="6" s="1"/>
  <c r="AQ17" i="6"/>
  <c r="U11" i="6"/>
  <c r="AG11" i="6"/>
  <c r="AG17" i="6" s="1"/>
  <c r="AB15" i="6"/>
  <c r="AJ15" i="6"/>
  <c r="P4" i="6"/>
  <c r="P6" i="6" s="1"/>
  <c r="P7" i="6" s="1"/>
  <c r="P17" i="6" s="1"/>
  <c r="Y4" i="6"/>
  <c r="Y6" i="6" s="1"/>
  <c r="Y7" i="6" s="1"/>
  <c r="V11" i="6"/>
  <c r="Z11" i="6"/>
  <c r="AD11" i="6"/>
  <c r="AD17" i="6" s="1"/>
  <c r="AH11" i="6"/>
  <c r="AL11" i="6"/>
  <c r="AL17" i="6" s="1"/>
  <c r="U15" i="6"/>
  <c r="AC15" i="6"/>
  <c r="AK15" i="6"/>
  <c r="AS15" i="6"/>
  <c r="AS17" i="6" s="1"/>
  <c r="R17" i="6"/>
  <c r="Z15" i="6"/>
  <c r="Z17" i="6" s="1"/>
  <c r="AH15" i="6"/>
  <c r="AH17" i="6" s="1"/>
  <c r="AP15" i="6"/>
  <c r="AX15" i="6"/>
  <c r="AX17" i="6" s="1"/>
  <c r="Y11" i="6"/>
  <c r="AC11" i="6"/>
  <c r="AK11" i="6"/>
  <c r="AR15" i="6"/>
  <c r="AR17" i="6" s="1"/>
  <c r="AB4" i="6"/>
  <c r="AB6" i="6" s="1"/>
  <c r="AB7" i="6" s="1"/>
  <c r="Q4" i="6"/>
  <c r="Q6" i="6" s="1"/>
  <c r="Q7" i="6" s="1"/>
  <c r="Q17" i="6" s="1"/>
  <c r="Z4" i="6"/>
  <c r="Z6" i="6" s="1"/>
  <c r="Z7" i="6" s="1"/>
  <c r="AA15" i="6"/>
  <c r="AA17" i="6" s="1"/>
  <c r="AE15" i="6"/>
  <c r="AM15" i="6"/>
  <c r="AM17" i="6" s="1"/>
  <c r="AU15" i="6"/>
  <c r="AU17" i="6" s="1"/>
  <c r="AT17" i="6"/>
  <c r="AP17" i="6"/>
  <c r="T4" i="6"/>
  <c r="T6" i="6" s="1"/>
  <c r="T7" i="6" s="1"/>
  <c r="T17" i="6" s="1"/>
  <c r="S4" i="6"/>
  <c r="S6" i="6" s="1"/>
  <c r="S7" i="6" s="1"/>
  <c r="S17" i="6" s="1"/>
  <c r="U4" i="6"/>
  <c r="U6" i="6" s="1"/>
  <c r="U7" i="6" s="1"/>
  <c r="AC4" i="6"/>
  <c r="AC6" i="6" s="1"/>
  <c r="AC7" i="6" s="1"/>
  <c r="D14" i="5"/>
  <c r="D10" i="5"/>
  <c r="V17" i="6" l="1"/>
  <c r="AB17" i="6"/>
  <c r="X17" i="6"/>
  <c r="Y17" i="6"/>
  <c r="AJ17" i="6"/>
  <c r="AE17" i="6"/>
  <c r="AK17" i="6"/>
  <c r="U17" i="6"/>
  <c r="AC17" i="6"/>
  <c r="D21" i="5"/>
  <c r="D15" i="5"/>
  <c r="D11" i="5"/>
  <c r="E14" i="5" l="1"/>
  <c r="E10" i="5" l="1"/>
  <c r="E11" i="5" s="1"/>
  <c r="E21" i="5"/>
  <c r="E15" i="5"/>
  <c r="F14" i="5" l="1"/>
  <c r="F10" i="5"/>
  <c r="F21" i="5" l="1"/>
  <c r="F15" i="5"/>
  <c r="F11" i="5"/>
  <c r="G3" i="5" l="1"/>
  <c r="G14" i="5" l="1"/>
  <c r="G10" i="5"/>
  <c r="G21" i="5" l="1"/>
  <c r="G15" i="5"/>
  <c r="G11" i="5"/>
  <c r="H21" i="5" l="1"/>
  <c r="H14" i="5" l="1"/>
  <c r="H15" i="5" s="1"/>
  <c r="H10" i="5" l="1"/>
  <c r="H11" i="5" s="1"/>
  <c r="N3" i="5" l="1"/>
  <c r="O4" i="5"/>
  <c r="O6" i="5"/>
  <c r="O7" i="5" s="1"/>
  <c r="K9" i="5"/>
  <c r="K11" i="5" s="1"/>
  <c r="L9" i="5"/>
  <c r="M9" i="5"/>
  <c r="N9" i="5"/>
  <c r="O9" i="5"/>
  <c r="O11" i="5" s="1"/>
  <c r="K10" i="5"/>
  <c r="L10" i="5"/>
  <c r="M10" i="5"/>
  <c r="N10" i="5"/>
  <c r="O10" i="5"/>
  <c r="K13" i="5"/>
  <c r="L13" i="5"/>
  <c r="M13" i="5"/>
  <c r="N13" i="5"/>
  <c r="O13" i="5"/>
  <c r="K14" i="5"/>
  <c r="L14" i="5"/>
  <c r="M14" i="5"/>
  <c r="N14" i="5"/>
  <c r="O14" i="5"/>
  <c r="K21" i="5"/>
  <c r="L21" i="5"/>
  <c r="M21" i="5"/>
  <c r="N21" i="5"/>
  <c r="O21" i="5"/>
  <c r="N11" i="5" l="1"/>
  <c r="M11" i="5"/>
  <c r="L15" i="5"/>
  <c r="N15" i="5"/>
  <c r="N17" i="5" s="1"/>
  <c r="D4" i="5"/>
  <c r="D6" i="5" s="1"/>
  <c r="D7" i="5" s="1"/>
  <c r="D17" i="5" s="1"/>
  <c r="E4" i="5"/>
  <c r="E6" i="5" s="1"/>
  <c r="E7" i="5" s="1"/>
  <c r="E17" i="5" s="1"/>
  <c r="L11" i="5"/>
  <c r="O15" i="5"/>
  <c r="O17" i="5" s="1"/>
  <c r="N4" i="5"/>
  <c r="N6" i="5" s="1"/>
  <c r="N7" i="5" s="1"/>
  <c r="M4" i="5"/>
  <c r="M6" i="5" s="1"/>
  <c r="M7" i="5" s="1"/>
  <c r="L4" i="5"/>
  <c r="L6" i="5" s="1"/>
  <c r="L7" i="5" s="1"/>
  <c r="M15" i="5"/>
  <c r="K15" i="5"/>
  <c r="K4" i="5"/>
  <c r="K6" i="5" s="1"/>
  <c r="K7" i="5" s="1"/>
  <c r="G4" i="5"/>
  <c r="G6" i="5" s="1"/>
  <c r="G7" i="5" s="1"/>
  <c r="G17" i="5" s="1"/>
  <c r="F4" i="5"/>
  <c r="F6" i="5" s="1"/>
  <c r="F7" i="5" s="1"/>
  <c r="F17" i="5" s="1"/>
  <c r="H4" i="5"/>
  <c r="H6" i="5" s="1"/>
  <c r="H7" i="5" s="1"/>
  <c r="H17" i="5" s="1"/>
  <c r="I14" i="5"/>
  <c r="I13" i="5"/>
  <c r="I10" i="5"/>
  <c r="I9" i="5"/>
  <c r="I4" i="5"/>
  <c r="K17" i="5" l="1"/>
  <c r="M17" i="5"/>
  <c r="L17" i="5"/>
  <c r="I6" i="5"/>
  <c r="I7" i="5" s="1"/>
  <c r="U4" i="5"/>
  <c r="I21" i="5"/>
  <c r="I15" i="5"/>
  <c r="I11" i="5"/>
  <c r="I17" i="5" l="1"/>
  <c r="J13" i="5"/>
  <c r="J9" i="5"/>
  <c r="J14" i="5"/>
  <c r="J10" i="5"/>
  <c r="J4" i="5"/>
  <c r="J6" i="5" s="1"/>
  <c r="J7" i="5" s="1"/>
  <c r="J21" i="5"/>
  <c r="J15" i="5" l="1"/>
  <c r="J11" i="5"/>
  <c r="J17" i="5" s="1"/>
  <c r="AB4" i="5" l="1"/>
  <c r="AB6" i="5" s="1"/>
  <c r="AB7" i="5" s="1"/>
  <c r="AC4" i="5"/>
  <c r="AC6" i="5" s="1"/>
  <c r="AC7" i="5" s="1"/>
  <c r="AD4" i="5"/>
  <c r="AD6" i="5" s="1"/>
  <c r="AD7" i="5" s="1"/>
  <c r="AE4" i="5"/>
  <c r="AE6" i="5" s="1"/>
  <c r="AE7" i="5" s="1"/>
  <c r="AF4" i="5"/>
  <c r="AF6" i="5" s="1"/>
  <c r="AF7" i="5" s="1"/>
  <c r="AG4" i="5"/>
  <c r="AG6" i="5" s="1"/>
  <c r="AG7" i="5" s="1"/>
  <c r="AH4" i="5"/>
  <c r="AH6" i="5" s="1"/>
  <c r="AH7" i="5" s="1"/>
  <c r="AI4" i="5"/>
  <c r="AI6" i="5" s="1"/>
  <c r="AI7" i="5" s="1"/>
  <c r="AJ4" i="5"/>
  <c r="AK4" i="5"/>
  <c r="AL4" i="5"/>
  <c r="AM4" i="5"/>
  <c r="AM6" i="5" s="1"/>
  <c r="AM7" i="5" s="1"/>
  <c r="AJ6" i="5"/>
  <c r="AJ7" i="5" s="1"/>
  <c r="AK6" i="5"/>
  <c r="AK7" i="5" s="1"/>
  <c r="AL6" i="5"/>
  <c r="AL7" i="5" s="1"/>
  <c r="AB13" i="5"/>
  <c r="AC13" i="5"/>
  <c r="AD13" i="5"/>
  <c r="AE13" i="5"/>
  <c r="AF13" i="5"/>
  <c r="AG13" i="5"/>
  <c r="AH13" i="5"/>
  <c r="AI13" i="5"/>
  <c r="AJ13" i="5"/>
  <c r="AK13" i="5"/>
  <c r="AL13" i="5"/>
  <c r="AM13" i="5"/>
  <c r="AB14" i="5"/>
  <c r="AC14" i="5"/>
  <c r="AC15" i="5" s="1"/>
  <c r="AD14" i="5"/>
  <c r="AD15" i="5" s="1"/>
  <c r="AE14" i="5"/>
  <c r="AF14" i="5"/>
  <c r="AG14" i="5"/>
  <c r="AH14" i="5"/>
  <c r="AI14" i="5"/>
  <c r="AI15" i="5" s="1"/>
  <c r="AJ14" i="5"/>
  <c r="AJ15" i="5" s="1"/>
  <c r="AK14" i="5"/>
  <c r="AK15" i="5" s="1"/>
  <c r="AL14" i="5"/>
  <c r="AM14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A21" i="5"/>
  <c r="Z21" i="5"/>
  <c r="Y21" i="5"/>
  <c r="X21" i="5"/>
  <c r="W21" i="5"/>
  <c r="V21" i="5"/>
  <c r="U21" i="5"/>
  <c r="T21" i="5"/>
  <c r="S21" i="5"/>
  <c r="R21" i="5"/>
  <c r="Q21" i="5"/>
  <c r="P21" i="5"/>
  <c r="AA14" i="5"/>
  <c r="Z14" i="5"/>
  <c r="Y14" i="5"/>
  <c r="X14" i="5"/>
  <c r="W14" i="5"/>
  <c r="V14" i="5"/>
  <c r="U14" i="5"/>
  <c r="T14" i="5"/>
  <c r="S14" i="5"/>
  <c r="R14" i="5"/>
  <c r="Q14" i="5"/>
  <c r="P14" i="5"/>
  <c r="AA13" i="5"/>
  <c r="Z13" i="5"/>
  <c r="Y13" i="5"/>
  <c r="X13" i="5"/>
  <c r="W13" i="5"/>
  <c r="V13" i="5"/>
  <c r="U13" i="5"/>
  <c r="T13" i="5"/>
  <c r="S13" i="5"/>
  <c r="R13" i="5"/>
  <c r="Q13" i="5"/>
  <c r="P13" i="5"/>
  <c r="AA10" i="5"/>
  <c r="Z10" i="5"/>
  <c r="Y10" i="5"/>
  <c r="X10" i="5"/>
  <c r="W10" i="5"/>
  <c r="V10" i="5"/>
  <c r="U10" i="5"/>
  <c r="T10" i="5"/>
  <c r="S10" i="5"/>
  <c r="R10" i="5"/>
  <c r="Q10" i="5"/>
  <c r="P10" i="5"/>
  <c r="AA9" i="5"/>
  <c r="Z9" i="5"/>
  <c r="Y9" i="5"/>
  <c r="X9" i="5"/>
  <c r="W9" i="5"/>
  <c r="V9" i="5"/>
  <c r="U9" i="5"/>
  <c r="T9" i="5"/>
  <c r="S9" i="5"/>
  <c r="R9" i="5"/>
  <c r="Q9" i="5"/>
  <c r="P9" i="5"/>
  <c r="AA4" i="5"/>
  <c r="AA6" i="5" s="1"/>
  <c r="AA7" i="5" s="1"/>
  <c r="Z4" i="5"/>
  <c r="Z6" i="5" s="1"/>
  <c r="Z7" i="5" s="1"/>
  <c r="Y4" i="5"/>
  <c r="Y6" i="5" s="1"/>
  <c r="Y7" i="5" s="1"/>
  <c r="X4" i="5"/>
  <c r="X6" i="5" s="1"/>
  <c r="X7" i="5" s="1"/>
  <c r="W4" i="5"/>
  <c r="W6" i="5" s="1"/>
  <c r="W7" i="5" s="1"/>
  <c r="V4" i="5"/>
  <c r="V6" i="5" s="1"/>
  <c r="V7" i="5" s="1"/>
  <c r="U6" i="5"/>
  <c r="U7" i="5" s="1"/>
  <c r="T4" i="5"/>
  <c r="T6" i="5" s="1"/>
  <c r="T7" i="5" s="1"/>
  <c r="S3" i="5"/>
  <c r="R3" i="5"/>
  <c r="P3" i="5"/>
  <c r="AE15" i="5" l="1"/>
  <c r="AM15" i="5"/>
  <c r="AM17" i="5" s="1"/>
  <c r="AJ17" i="5"/>
  <c r="W11" i="5"/>
  <c r="AI17" i="5"/>
  <c r="AH15" i="5"/>
  <c r="AH17" i="5" s="1"/>
  <c r="AL15" i="5"/>
  <c r="AL17" i="5" s="1"/>
  <c r="T11" i="5"/>
  <c r="AG15" i="5"/>
  <c r="AG17" i="5" s="1"/>
  <c r="U11" i="5"/>
  <c r="AF15" i="5"/>
  <c r="AF17" i="5" s="1"/>
  <c r="AB15" i="5"/>
  <c r="AB17" i="5" s="1"/>
  <c r="V11" i="5"/>
  <c r="AD17" i="5"/>
  <c r="AC17" i="5"/>
  <c r="AE17" i="5"/>
  <c r="AK17" i="5"/>
  <c r="P11" i="5"/>
  <c r="X11" i="5"/>
  <c r="Q11" i="5"/>
  <c r="Y11" i="5"/>
  <c r="R11" i="5"/>
  <c r="Z11" i="5"/>
  <c r="S11" i="5"/>
  <c r="AA11" i="5"/>
  <c r="P4" i="5"/>
  <c r="P6" i="5" s="1"/>
  <c r="P7" i="5" s="1"/>
  <c r="Q4" i="5"/>
  <c r="Q6" i="5" s="1"/>
  <c r="Q7" i="5" s="1"/>
  <c r="P15" i="5"/>
  <c r="R15" i="5"/>
  <c r="T15" i="5"/>
  <c r="V15" i="5"/>
  <c r="V17" i="5" s="1"/>
  <c r="X15" i="5"/>
  <c r="Z15" i="5"/>
  <c r="Q15" i="5"/>
  <c r="S15" i="5"/>
  <c r="U15" i="5"/>
  <c r="W15" i="5"/>
  <c r="Y15" i="5"/>
  <c r="Y17" i="5" s="1"/>
  <c r="AA15" i="5"/>
  <c r="S4" i="5"/>
  <c r="S6" i="5" s="1"/>
  <c r="S7" i="5" s="1"/>
  <c r="R4" i="5"/>
  <c r="R6" i="5" s="1"/>
  <c r="R7" i="5" s="1"/>
  <c r="D14" i="1"/>
  <c r="D13" i="1"/>
  <c r="D10" i="1"/>
  <c r="D9" i="1"/>
  <c r="D3" i="1"/>
  <c r="D21" i="1"/>
  <c r="D11" i="1" l="1"/>
  <c r="W17" i="5"/>
  <c r="D15" i="1"/>
  <c r="U17" i="5"/>
  <c r="P17" i="5"/>
  <c r="T17" i="5"/>
  <c r="Z17" i="5"/>
  <c r="AA17" i="5"/>
  <c r="S17" i="5"/>
  <c r="X17" i="5"/>
  <c r="Q17" i="5"/>
  <c r="R17" i="5"/>
  <c r="E14" i="1"/>
  <c r="E13" i="1"/>
  <c r="E10" i="1"/>
  <c r="E9" i="1"/>
  <c r="E11" i="1" s="1"/>
  <c r="E21" i="1"/>
  <c r="E15" i="1" l="1"/>
  <c r="F13" i="1"/>
  <c r="F9" i="1"/>
  <c r="F14" i="1"/>
  <c r="F15" i="1" s="1"/>
  <c r="F10" i="1"/>
  <c r="F3" i="1"/>
  <c r="F21" i="1"/>
  <c r="F11" i="1" l="1"/>
  <c r="G13" i="1"/>
  <c r="G9" i="1"/>
  <c r="G10" i="1"/>
  <c r="G14" i="1"/>
  <c r="G3" i="1"/>
  <c r="D4" i="1" s="1"/>
  <c r="D6" i="1" s="1"/>
  <c r="D7" i="1" s="1"/>
  <c r="D17" i="1" s="1"/>
  <c r="G21" i="1"/>
  <c r="G15" i="1" l="1"/>
  <c r="E4" i="1"/>
  <c r="E6" i="1" s="1"/>
  <c r="E7" i="1" s="1"/>
  <c r="E17" i="1" s="1"/>
  <c r="G4" i="1"/>
  <c r="G6" i="1" s="1"/>
  <c r="G7" i="1" s="1"/>
  <c r="F4" i="1"/>
  <c r="F6" i="1" s="1"/>
  <c r="F7" i="1" s="1"/>
  <c r="F17" i="1" s="1"/>
  <c r="G11" i="1"/>
  <c r="H13" i="1"/>
  <c r="H9" i="1"/>
  <c r="G17" i="1" l="1"/>
  <c r="H4" i="1"/>
  <c r="H6" i="1" s="1"/>
  <c r="H7" i="1" s="1"/>
  <c r="H14" i="1"/>
  <c r="H15" i="1" s="1"/>
  <c r="H10" i="1"/>
  <c r="H11" i="1" s="1"/>
  <c r="H21" i="1"/>
  <c r="H17" i="1" l="1"/>
  <c r="U4" i="1"/>
  <c r="I4" i="1"/>
  <c r="I6" i="1" s="1"/>
  <c r="I7" i="1" s="1"/>
  <c r="I14" i="1"/>
  <c r="I13" i="1"/>
  <c r="I10" i="1"/>
  <c r="I9" i="1"/>
  <c r="I21" i="1"/>
  <c r="I15" i="1" l="1"/>
  <c r="I11" i="1"/>
  <c r="J13" i="1"/>
  <c r="J14" i="1"/>
  <c r="J15" i="1" s="1"/>
  <c r="J10" i="1"/>
  <c r="J9" i="1"/>
  <c r="J11" i="1" s="1"/>
  <c r="J4" i="1"/>
  <c r="J6" i="1" s="1"/>
  <c r="J7" i="1" s="1"/>
  <c r="J21" i="1"/>
  <c r="I17" i="1" l="1"/>
  <c r="J17" i="1"/>
  <c r="K13" i="1"/>
  <c r="K14" i="1"/>
  <c r="K9" i="1"/>
  <c r="K10" i="1"/>
  <c r="L10" i="1"/>
  <c r="K4" i="1"/>
  <c r="K6" i="1" s="1"/>
  <c r="K7" i="1" s="1"/>
  <c r="K21" i="1"/>
  <c r="K11" i="1" l="1"/>
  <c r="K15" i="1"/>
  <c r="K17" i="1" s="1"/>
  <c r="L14" i="1"/>
  <c r="L13" i="1"/>
  <c r="L9" i="1"/>
  <c r="L11" i="1" s="1"/>
  <c r="O4" i="1"/>
  <c r="N4" i="1"/>
  <c r="M4" i="1"/>
  <c r="L4" i="1"/>
  <c r="L21" i="1"/>
  <c r="L6" i="1"/>
  <c r="L7" i="1" s="1"/>
  <c r="L15" i="1" l="1"/>
  <c r="L17" i="1" s="1"/>
  <c r="M13" i="1"/>
  <c r="M9" i="1"/>
  <c r="M14" i="1"/>
  <c r="M15" i="1" s="1"/>
  <c r="M10" i="1"/>
  <c r="M21" i="1"/>
  <c r="M6" i="1"/>
  <c r="M7" i="1" s="1"/>
  <c r="M11" i="1" l="1"/>
  <c r="M17" i="1"/>
  <c r="O21" i="4"/>
  <c r="N21" i="4"/>
  <c r="M21" i="4"/>
  <c r="L21" i="4"/>
  <c r="K21" i="4"/>
  <c r="J21" i="4"/>
  <c r="I21" i="4"/>
  <c r="H21" i="4"/>
  <c r="G21" i="4"/>
  <c r="F21" i="4"/>
  <c r="E21" i="4"/>
  <c r="D21" i="4"/>
  <c r="O14" i="4"/>
  <c r="N14" i="4"/>
  <c r="M14" i="4"/>
  <c r="L14" i="4"/>
  <c r="K14" i="4"/>
  <c r="J14" i="4"/>
  <c r="I14" i="4"/>
  <c r="H14" i="4"/>
  <c r="G14" i="4"/>
  <c r="F14" i="4"/>
  <c r="E14" i="4"/>
  <c r="D14" i="4"/>
  <c r="O13" i="4"/>
  <c r="N13" i="4"/>
  <c r="M13" i="4"/>
  <c r="L13" i="4"/>
  <c r="K13" i="4"/>
  <c r="J13" i="4"/>
  <c r="I13" i="4"/>
  <c r="H13" i="4"/>
  <c r="G13" i="4"/>
  <c r="F13" i="4"/>
  <c r="E13" i="4"/>
  <c r="D13" i="4"/>
  <c r="O4" i="4"/>
  <c r="O6" i="4" s="1"/>
  <c r="O7" i="4" s="1"/>
  <c r="N4" i="4"/>
  <c r="N6" i="4" s="1"/>
  <c r="N7" i="4" s="1"/>
  <c r="M4" i="4"/>
  <c r="M6" i="4" s="1"/>
  <c r="M7" i="4" s="1"/>
  <c r="L4" i="4"/>
  <c r="L6" i="4" s="1"/>
  <c r="L7" i="4" s="1"/>
  <c r="K4" i="4"/>
  <c r="K6" i="4" s="1"/>
  <c r="K7" i="4" s="1"/>
  <c r="J4" i="4"/>
  <c r="J6" i="4" s="1"/>
  <c r="J7" i="4" s="1"/>
  <c r="I4" i="4"/>
  <c r="I6" i="4" s="1"/>
  <c r="I7" i="4" s="1"/>
  <c r="H4" i="4"/>
  <c r="H6" i="4" s="1"/>
  <c r="H7" i="4" s="1"/>
  <c r="G4" i="4"/>
  <c r="G6" i="4" s="1"/>
  <c r="G7" i="4" s="1"/>
  <c r="F4" i="4"/>
  <c r="F6" i="4" s="1"/>
  <c r="F7" i="4" s="1"/>
  <c r="E4" i="4"/>
  <c r="E6" i="4" s="1"/>
  <c r="E7" i="4" s="1"/>
  <c r="D4" i="4"/>
  <c r="D6" i="4" s="1"/>
  <c r="D7" i="4" s="1"/>
  <c r="N21" i="1"/>
  <c r="N9" i="1"/>
  <c r="N10" i="1"/>
  <c r="O10" i="1"/>
  <c r="O9" i="1"/>
  <c r="N13" i="1"/>
  <c r="N15" i="1" s="1"/>
  <c r="N14" i="1"/>
  <c r="O14" i="1"/>
  <c r="O13" i="1"/>
  <c r="N6" i="1"/>
  <c r="N7" i="1" s="1"/>
  <c r="O21" i="1"/>
  <c r="O6" i="1"/>
  <c r="O7" i="1" s="1"/>
  <c r="O11" i="1" l="1"/>
  <c r="N11" i="1"/>
  <c r="O15" i="1"/>
  <c r="O17" i="1" s="1"/>
  <c r="N17" i="1"/>
  <c r="D15" i="4"/>
  <c r="D17" i="4" s="1"/>
  <c r="F15" i="4"/>
  <c r="F17" i="4" s="1"/>
  <c r="H15" i="4"/>
  <c r="H17" i="4" s="1"/>
  <c r="J15" i="4"/>
  <c r="J17" i="4" s="1"/>
  <c r="L15" i="4"/>
  <c r="N15" i="4"/>
  <c r="E15" i="4"/>
  <c r="E17" i="4" s="1"/>
  <c r="G15" i="4"/>
  <c r="G17" i="4" s="1"/>
  <c r="I15" i="4"/>
  <c r="K15" i="4"/>
  <c r="K17" i="4" s="1"/>
  <c r="M15" i="4"/>
  <c r="M17" i="4" s="1"/>
  <c r="O15" i="4"/>
  <c r="O17" i="4" s="1"/>
  <c r="L17" i="4"/>
  <c r="N17" i="4"/>
  <c r="I17" i="4"/>
  <c r="P14" i="1"/>
  <c r="P13" i="1"/>
  <c r="P4" i="1"/>
  <c r="P6" i="1" s="1"/>
  <c r="P7" i="1" s="1"/>
  <c r="P21" i="1"/>
  <c r="P15" i="1" l="1"/>
  <c r="P17" i="1"/>
  <c r="R13" i="1"/>
  <c r="R14" i="1"/>
  <c r="Q14" i="1"/>
  <c r="Q13" i="1"/>
  <c r="S4" i="1"/>
  <c r="R4" i="1"/>
  <c r="R6" i="1" s="1"/>
  <c r="R7" i="1" s="1"/>
  <c r="Q4" i="1"/>
  <c r="Q6" i="1" s="1"/>
  <c r="Q7" i="1" s="1"/>
  <c r="R21" i="1"/>
  <c r="Q21" i="1"/>
  <c r="R15" i="1" l="1"/>
  <c r="R17" i="1" s="1"/>
  <c r="Q15" i="1"/>
  <c r="Q17" i="1" s="1"/>
  <c r="T13" i="1"/>
  <c r="S13" i="1"/>
  <c r="S14" i="1" l="1"/>
  <c r="S21" i="1"/>
  <c r="S6" i="1"/>
  <c r="S7" i="1" s="1"/>
  <c r="S15" i="1" l="1"/>
  <c r="S17" i="1" s="1"/>
  <c r="T14" i="1"/>
  <c r="T4" i="1"/>
  <c r="T6" i="1" s="1"/>
  <c r="T7" i="1" s="1"/>
  <c r="T21" i="1"/>
  <c r="T15" i="1" l="1"/>
  <c r="T17" i="1" s="1"/>
  <c r="U14" i="1"/>
  <c r="U13" i="1"/>
  <c r="U15" i="1" s="1"/>
  <c r="U6" i="1"/>
  <c r="U7" i="1" s="1"/>
  <c r="U21" i="1"/>
  <c r="U17" i="1" l="1"/>
  <c r="V13" i="1"/>
  <c r="V14" i="1" l="1"/>
  <c r="V15" i="1" s="1"/>
  <c r="V4" i="1"/>
  <c r="V6" i="1" s="1"/>
  <c r="V7" i="1" s="1"/>
  <c r="V21" i="1"/>
  <c r="V17" i="1" l="1"/>
  <c r="W13" i="1"/>
  <c r="W14" i="1" l="1"/>
  <c r="W15" i="1" s="1"/>
  <c r="W4" i="1"/>
  <c r="W6" i="1" s="1"/>
  <c r="W7" i="1" s="1"/>
  <c r="W17" i="1" s="1"/>
  <c r="W21" i="1"/>
  <c r="X14" i="1" l="1"/>
  <c r="X13" i="1"/>
  <c r="X4" i="1"/>
  <c r="X6" i="1" s="1"/>
  <c r="X7" i="1" s="1"/>
  <c r="X21" i="1"/>
  <c r="X15" i="1" l="1"/>
  <c r="X17" i="1" s="1"/>
  <c r="Y14" i="1"/>
  <c r="Y13" i="1"/>
  <c r="Y21" i="1"/>
  <c r="Y4" i="1"/>
  <c r="Y6" i="1" s="1"/>
  <c r="Y7" i="1" s="1"/>
  <c r="Y15" i="1" l="1"/>
  <c r="Y17" i="1" s="1"/>
  <c r="Z14" i="1"/>
  <c r="Z13" i="1"/>
  <c r="Z4" i="1"/>
  <c r="Z6" i="1" s="1"/>
  <c r="Z7" i="1" s="1"/>
  <c r="AA21" i="1"/>
  <c r="AA14" i="1"/>
  <c r="AA13" i="1"/>
  <c r="AA4" i="1"/>
  <c r="AA6" i="1" s="1"/>
  <c r="AA7" i="1" s="1"/>
  <c r="AA15" i="1" l="1"/>
  <c r="AA17" i="1" s="1"/>
  <c r="Z15" i="1"/>
  <c r="Z17" i="1" s="1"/>
  <c r="Z21" i="1"/>
</calcChain>
</file>

<file path=xl/sharedStrings.xml><?xml version="1.0" encoding="utf-8"?>
<sst xmlns="http://schemas.openxmlformats.org/spreadsheetml/2006/main" count="529" uniqueCount="49">
  <si>
    <t>KEY</t>
  </si>
  <si>
    <t>Financial Highlights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</si>
  <si>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</si>
  <si>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</si>
  <si>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</si>
  <si>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</si>
  <si>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</si>
  <si>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</si>
  <si>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</si>
  <si>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</si>
  <si>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</si>
  <si>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</si>
  <si>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</si>
  <si>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</si>
  <si>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From Counts[MbrType Tab] (Regular+Honorary Hines)</t>
  </si>
  <si>
    <t>Current regular membership</t>
  </si>
  <si>
    <t>Average Formula (for the year add new month row 3)</t>
  </si>
  <si>
    <t>Average YTD</t>
  </si>
  <si>
    <t>From Budget for Year, does not change month to month</t>
  </si>
  <si>
    <t>Budget Revenue</t>
  </si>
  <si>
    <t>Formula difference of Average and Budget for the year</t>
  </si>
  <si>
    <t>Projected membership variance</t>
  </si>
  <si>
    <t>Projected Member Variance * Cost of membership (192)</t>
  </si>
  <si>
    <t>Projected membership revenue variance</t>
  </si>
  <si>
    <t>Total YTD Income from P&amp;L (ASI Financial Statements Income Statement), subtracted by total YTD of membership dues (3030), subtracted by YTD indexer locator listings (3150), subtracted by YTD total annual meeting (3400)</t>
  </si>
  <si>
    <t>YTD Revenue (excluding Conference, locator, and membership)</t>
  </si>
  <si>
    <t xml:space="preserve"> </t>
  </si>
  <si>
    <t>Formula, change end to correct month number</t>
  </si>
  <si>
    <t>Budget YTD Revenue (excluding Conference, locator, and membership)</t>
  </si>
  <si>
    <t>YTD Revenue Variance from Budget</t>
  </si>
  <si>
    <t>Total YTD Expense from P&amp;L (ASI Financial Statements Income Statement), subtract Conference 5500 YTD</t>
  </si>
  <si>
    <t>YTD Expenses (excluding Conference)</t>
  </si>
  <si>
    <t>Budget YTD Expenses (Excluding Conference)</t>
  </si>
  <si>
    <t>YTD Expense Variance from Budget</t>
  </si>
  <si>
    <t>SUM</t>
  </si>
  <si>
    <t>Combined Variance from Budget</t>
  </si>
  <si>
    <t>Total Checkings/Savings amount on Balance Sheet</t>
  </si>
  <si>
    <t>Cash</t>
  </si>
  <si>
    <t xml:space="preserve">Use the previous month's numbers unless a SIG is disbanded, then adjust </t>
  </si>
  <si>
    <t>Less reserve for restricted</t>
  </si>
  <si>
    <t>Net Income from Conference, Meeting BvA tab on Financial Statements</t>
  </si>
  <si>
    <t>Conference</t>
  </si>
  <si>
    <t>n/a</t>
  </si>
  <si>
    <t>*Reserve for restricted changed when the Business SIG was disbanded.</t>
  </si>
  <si>
    <t>Average Formula</t>
  </si>
  <si>
    <t>Budget YTD Revenue (Excluding Conference and membership)</t>
  </si>
  <si>
    <t>Current membership</t>
  </si>
  <si>
    <t>YTD Revenue (excluding conference and membership)</t>
  </si>
  <si>
    <t>YTD Expenses (excluding conference)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</si>
</sst>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43" fontId="0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/>
    <xf numFmtId="43" fontId="0" fillId="0" borderId="0" xfId="1" applyFont="1" applyAlignment="1">
      <alignment horizontal="center"/>
    </xf>
    <xf numFmtId="44" fontId="0" fillId="0" borderId="1" xfId="2" applyFont="1" applyBorder="1"/>
    <xf numFmtId="44" fontId="0" fillId="0" borderId="2" xfId="2" applyFont="1" applyBorder="1"/>
    <xf numFmtId="43" fontId="0" fillId="0" borderId="0" xfId="0" applyNumberFormat="1"/>
    <xf numFmtId="0" fontId="0" fillId="0" borderId="4" xfId="0" applyBorder="1"/>
    <xf numFmtId="44" fontId="0" fillId="0" borderId="0" xfId="0" applyNumberFormat="1"/>
    <xf numFmtId="0" fontId="0" fillId="0" borderId="5" xfId="0" applyBorder="1"/>
    <xf numFmtId="4" fontId="0" fillId="0" borderId="0" xfId="0" applyNumberFormat="1"/>
    <xf numFmtId="39" fontId="0" fillId="0" borderId="0" xfId="0" applyNumberFormat="1"/>
    <xf numFmtId="43" fontId="0" fillId="0" borderId="0" xfId="1" applyFont="1" applyAlignment="1">
      <alignment horizontal="right"/>
    </xf>
    <xf numFmtId="43" fontId="0" fillId="0" borderId="0" xfId="0" applyNumberFormat="1" applyAlignment="1">
      <alignment horizontal="right"/>
    </xf>
    <xf numFmtId="0" fontId="0" fillId="0" borderId="6" xfId="0" applyBorder="1"/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6" xfId="0" applyBorder="1" applyAlignment="1"/>
    <xf numFmtId="0" fontId="0" fillId="0" borderId="6" xfId="0" applyBorder="1" applyAlignment="1">
      <alignment vertical="center" wrapText="1"/>
    </xf>
    <xf numFmtId="39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5257-1BD4-413D-B700-7FCDCB04DF30}">
  <sheetPr>
    <pageSetUpPr fitToPage="1"/>
  </sheetPr>
  <dimension ref="A1:CE30"/>
  <sheetViews>
    <sheetView tabSelected="1" workbookViewId="0">
      <selection sqref="A1:A1048576"/>
    </sheetView>
  </sheetViews>
  <sheetFormatPr defaultColWidth="9.140625" defaultRowHeight="15"/>
  <cols>
    <col min="1" max="1" width="33.140625" hidden="1" customWidth="1"/>
    <col min="4" max="4" width="52.140625" customWidth="1"/>
    <col min="5" max="7" width="16.28515625" customWidth="1"/>
    <col min="8" max="8" width="16.28515625" hidden="1" customWidth="1"/>
    <col min="9" max="11" width="20.28515625" hidden="1" customWidth="1"/>
    <col min="12" max="13" width="17.42578125" hidden="1" customWidth="1"/>
    <col min="14" max="16" width="15.140625" hidden="1" customWidth="1"/>
    <col min="17" max="19" width="15.140625" customWidth="1"/>
    <col min="20" max="38" width="15.140625" hidden="1" customWidth="1"/>
    <col min="39" max="39" width="15.5703125" hidden="1" customWidth="1"/>
    <col min="40" max="40" width="15.140625" hidden="1" customWidth="1"/>
    <col min="41" max="41" width="15.28515625" hidden="1" customWidth="1"/>
    <col min="42" max="48" width="15.140625" hidden="1" customWidth="1"/>
    <col min="49" max="50" width="14.7109375" hidden="1" customWidth="1"/>
    <col min="51" max="51" width="16.28515625" hidden="1" customWidth="1"/>
    <col min="52" max="53" width="14.7109375" hidden="1" customWidth="1"/>
    <col min="54" max="55" width="17.7109375" hidden="1" customWidth="1"/>
    <col min="56" max="61" width="15.7109375" hidden="1" customWidth="1"/>
    <col min="62" max="62" width="14.85546875" hidden="1" customWidth="1"/>
    <col min="63" max="64" width="15.140625" hidden="1" customWidth="1"/>
    <col min="65" max="65" width="13.7109375" hidden="1" customWidth="1"/>
    <col min="66" max="66" width="10.85546875" hidden="1" customWidth="1"/>
    <col min="67" max="68" width="14.7109375" hidden="1" customWidth="1"/>
    <col min="69" max="69" width="12" hidden="1" customWidth="1"/>
    <col min="70" max="74" width="13.5703125" hidden="1" customWidth="1"/>
    <col min="75" max="75" width="14.28515625" hidden="1" customWidth="1"/>
    <col min="76" max="78" width="11.140625" hidden="1" customWidth="1"/>
    <col min="79" max="80" width="8.85546875" customWidth="1"/>
  </cols>
  <sheetData>
    <row r="1" spans="1:83">
      <c r="A1" t="s">
        <v>0</v>
      </c>
      <c r="B1" t="s">
        <v>1</v>
      </c>
      <c r="E1" s="26"/>
      <c r="F1" s="26">
        <v>2021</v>
      </c>
      <c r="G1" s="26"/>
      <c r="H1" s="30"/>
      <c r="I1" s="30">
        <v>2020</v>
      </c>
      <c r="J1" s="30"/>
      <c r="K1" s="30"/>
      <c r="L1" s="30"/>
      <c r="M1" s="30"/>
      <c r="N1" s="30"/>
      <c r="O1" s="20">
        <v>2020</v>
      </c>
      <c r="P1" s="20"/>
      <c r="Q1" s="20"/>
      <c r="R1" s="27">
        <v>2020</v>
      </c>
      <c r="S1" s="20"/>
      <c r="T1" s="34">
        <v>2019</v>
      </c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5">
        <v>2018</v>
      </c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6"/>
      <c r="AR1" s="37">
        <v>2017</v>
      </c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8"/>
      <c r="BD1" s="32"/>
      <c r="BE1" s="32"/>
      <c r="BF1" s="12"/>
      <c r="BG1" s="12"/>
      <c r="BH1" s="12"/>
      <c r="BI1" s="12"/>
      <c r="BJ1" s="12"/>
      <c r="BK1" s="28"/>
      <c r="BL1" s="29"/>
      <c r="BM1" s="29"/>
      <c r="BN1" s="29"/>
      <c r="BO1" s="31">
        <v>2015</v>
      </c>
      <c r="BP1" s="32"/>
      <c r="BQ1" s="33"/>
      <c r="BR1" s="28"/>
      <c r="BS1" s="10"/>
      <c r="BT1" s="29"/>
      <c r="BU1" s="29"/>
      <c r="BV1" s="28"/>
      <c r="BW1" s="28"/>
      <c r="BX1" s="28"/>
      <c r="BY1" s="28"/>
      <c r="BZ1" s="29"/>
    </row>
    <row r="2" spans="1:83">
      <c r="E2" s="18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18" t="s">
        <v>8</v>
      </c>
      <c r="L2" s="18" t="s">
        <v>9</v>
      </c>
      <c r="M2" s="18" t="s">
        <v>10</v>
      </c>
      <c r="N2" s="18" t="s">
        <v>11</v>
      </c>
      <c r="O2" s="18" t="s">
        <v>12</v>
      </c>
      <c r="P2" s="18" t="s">
        <v>13</v>
      </c>
      <c r="Q2" s="18" t="s">
        <v>2</v>
      </c>
      <c r="R2" s="18" t="s">
        <v>3</v>
      </c>
      <c r="S2" s="18" t="s">
        <v>4</v>
      </c>
      <c r="T2" s="18" t="s">
        <v>5</v>
      </c>
      <c r="U2" s="18" t="s">
        <v>6</v>
      </c>
      <c r="V2" s="18" t="s">
        <v>7</v>
      </c>
      <c r="W2" s="18" t="s">
        <v>8</v>
      </c>
      <c r="X2" s="18" t="s">
        <v>9</v>
      </c>
      <c r="Y2" s="18" t="s">
        <v>10</v>
      </c>
      <c r="Z2" s="18" t="s">
        <v>11</v>
      </c>
      <c r="AA2" s="18" t="s">
        <v>12</v>
      </c>
      <c r="AB2" s="18" t="s">
        <v>13</v>
      </c>
      <c r="AC2" s="18" t="s">
        <v>2</v>
      </c>
      <c r="AD2" s="18" t="s">
        <v>3</v>
      </c>
      <c r="AE2" s="18" t="s">
        <v>4</v>
      </c>
      <c r="AF2" s="18" t="s">
        <v>5</v>
      </c>
      <c r="AG2" s="18" t="s">
        <v>6</v>
      </c>
      <c r="AH2" s="18" t="s">
        <v>7</v>
      </c>
      <c r="AI2" s="18" t="s">
        <v>8</v>
      </c>
      <c r="AJ2" s="18" t="s">
        <v>9</v>
      </c>
      <c r="AK2" s="18" t="s">
        <v>10</v>
      </c>
      <c r="AL2" s="18" t="s">
        <v>11</v>
      </c>
      <c r="AM2" s="18" t="s">
        <v>12</v>
      </c>
      <c r="AN2" s="18" t="s">
        <v>13</v>
      </c>
      <c r="AO2" s="18" t="s">
        <v>2</v>
      </c>
      <c r="AP2" s="18" t="s">
        <v>3</v>
      </c>
      <c r="AQ2" s="18" t="s">
        <v>4</v>
      </c>
      <c r="AR2" s="4" t="s">
        <v>5</v>
      </c>
      <c r="AS2" s="4" t="s">
        <v>6</v>
      </c>
      <c r="AT2" s="4" t="s">
        <v>7</v>
      </c>
      <c r="AU2" s="4" t="s">
        <v>8</v>
      </c>
      <c r="AV2" s="4" t="s">
        <v>9</v>
      </c>
      <c r="AW2" s="4" t="s">
        <v>10</v>
      </c>
      <c r="AX2" s="4" t="s">
        <v>11</v>
      </c>
      <c r="AY2" s="4" t="s">
        <v>12</v>
      </c>
      <c r="AZ2" s="4" t="s">
        <v>13</v>
      </c>
      <c r="BA2" s="4" t="s">
        <v>2</v>
      </c>
      <c r="BB2" s="4" t="s">
        <v>3</v>
      </c>
      <c r="BC2" s="4" t="s">
        <v>4</v>
      </c>
      <c r="BD2" s="4" t="s">
        <v>6</v>
      </c>
      <c r="BE2" s="4" t="s">
        <v>7</v>
      </c>
      <c r="BF2" s="4" t="s">
        <v>8</v>
      </c>
      <c r="BG2" s="4" t="s">
        <v>9</v>
      </c>
      <c r="BH2" s="4" t="s">
        <v>10</v>
      </c>
      <c r="BI2" s="4" t="s">
        <v>11</v>
      </c>
      <c r="BJ2" s="4" t="s">
        <v>12</v>
      </c>
      <c r="BK2" s="4" t="s">
        <v>13</v>
      </c>
      <c r="BL2" s="4" t="s">
        <v>2</v>
      </c>
      <c r="BM2" s="4" t="s">
        <v>3</v>
      </c>
      <c r="BN2" s="4" t="s">
        <v>4</v>
      </c>
      <c r="BO2" s="4" t="s">
        <v>5</v>
      </c>
      <c r="BP2" s="4" t="s">
        <v>6</v>
      </c>
      <c r="BQ2" s="4" t="s">
        <v>7</v>
      </c>
      <c r="BR2" s="4" t="s">
        <v>8</v>
      </c>
      <c r="BS2" s="4" t="s">
        <v>9</v>
      </c>
      <c r="BT2" s="4" t="s">
        <v>10</v>
      </c>
      <c r="BU2" s="4" t="s">
        <v>11</v>
      </c>
      <c r="BV2" s="4" t="s">
        <v>12</v>
      </c>
      <c r="BW2" s="4" t="s">
        <v>13</v>
      </c>
      <c r="BX2" s="4" t="s">
        <v>2</v>
      </c>
      <c r="BY2" s="4" t="s">
        <v>3</v>
      </c>
      <c r="BZ2" s="4" t="s">
        <v>4</v>
      </c>
    </row>
    <row r="3" spans="1:83">
      <c r="A3" s="25" t="s">
        <v>14</v>
      </c>
      <c r="D3" t="s">
        <v>15</v>
      </c>
      <c r="E3" s="24">
        <f>330+17</f>
        <v>347</v>
      </c>
      <c r="F3" s="24">
        <f>322+17</f>
        <v>339</v>
      </c>
      <c r="G3" s="24">
        <f>317+17</f>
        <v>334</v>
      </c>
      <c r="H3" s="24">
        <f>329+17</f>
        <v>346</v>
      </c>
      <c r="I3" s="24">
        <f>320+17</f>
        <v>337</v>
      </c>
      <c r="J3" s="24">
        <f>323+17</f>
        <v>340</v>
      </c>
      <c r="K3" s="24">
        <f>319+17</f>
        <v>336</v>
      </c>
      <c r="L3">
        <f>325+17</f>
        <v>342</v>
      </c>
      <c r="M3">
        <v>334</v>
      </c>
      <c r="N3">
        <v>323</v>
      </c>
      <c r="O3">
        <v>328</v>
      </c>
      <c r="P3">
        <v>326</v>
      </c>
      <c r="Q3">
        <v>328</v>
      </c>
      <c r="R3">
        <v>332</v>
      </c>
      <c r="S3">
        <v>349</v>
      </c>
      <c r="T3">
        <v>360</v>
      </c>
      <c r="U3">
        <v>360</v>
      </c>
      <c r="V3">
        <v>363</v>
      </c>
      <c r="W3">
        <v>371</v>
      </c>
      <c r="X3">
        <v>378</v>
      </c>
      <c r="Y3">
        <v>374</v>
      </c>
      <c r="Z3">
        <v>375</v>
      </c>
      <c r="AA3">
        <v>376</v>
      </c>
      <c r="AB3">
        <v>383</v>
      </c>
      <c r="AC3">
        <v>387</v>
      </c>
      <c r="AD3">
        <v>386</v>
      </c>
      <c r="AE3">
        <v>392</v>
      </c>
      <c r="AF3">
        <v>405</v>
      </c>
      <c r="AG3">
        <v>407</v>
      </c>
      <c r="AH3">
        <v>399</v>
      </c>
      <c r="AI3">
        <v>396</v>
      </c>
      <c r="AJ3">
        <v>396</v>
      </c>
      <c r="AK3">
        <v>397</v>
      </c>
      <c r="AL3">
        <v>400</v>
      </c>
      <c r="AM3">
        <v>395</v>
      </c>
      <c r="AN3">
        <v>387</v>
      </c>
      <c r="AO3">
        <v>385</v>
      </c>
      <c r="AP3">
        <v>392</v>
      </c>
      <c r="AQ3">
        <v>397</v>
      </c>
      <c r="AR3">
        <v>418</v>
      </c>
      <c r="AS3">
        <v>417</v>
      </c>
      <c r="AT3">
        <v>421</v>
      </c>
      <c r="AU3">
        <f>412+14</f>
        <v>426</v>
      </c>
      <c r="AV3">
        <v>417</v>
      </c>
      <c r="AW3">
        <v>424</v>
      </c>
      <c r="AX3">
        <v>424</v>
      </c>
      <c r="AY3">
        <v>420</v>
      </c>
      <c r="AZ3">
        <v>420</v>
      </c>
      <c r="BA3">
        <v>423</v>
      </c>
      <c r="BB3">
        <f>404+13</f>
        <v>417</v>
      </c>
      <c r="BC3">
        <v>421</v>
      </c>
      <c r="BD3">
        <v>451</v>
      </c>
      <c r="BE3">
        <f>433+13</f>
        <v>446</v>
      </c>
      <c r="BF3">
        <f>428+13</f>
        <v>441</v>
      </c>
      <c r="BG3">
        <v>439</v>
      </c>
      <c r="BH3">
        <v>431</v>
      </c>
      <c r="BI3">
        <v>440</v>
      </c>
      <c r="BJ3">
        <v>445</v>
      </c>
      <c r="BK3">
        <v>441</v>
      </c>
      <c r="BL3">
        <v>444</v>
      </c>
      <c r="BM3">
        <v>441</v>
      </c>
      <c r="BN3">
        <v>449</v>
      </c>
      <c r="BO3">
        <v>440</v>
      </c>
      <c r="BP3">
        <v>438</v>
      </c>
      <c r="BQ3">
        <v>437</v>
      </c>
      <c r="BR3">
        <v>435</v>
      </c>
      <c r="BS3">
        <v>433</v>
      </c>
      <c r="BT3">
        <v>432</v>
      </c>
      <c r="BU3">
        <v>430</v>
      </c>
      <c r="BV3">
        <v>428</v>
      </c>
      <c r="BW3">
        <v>430</v>
      </c>
      <c r="BX3">
        <v>426</v>
      </c>
      <c r="BY3">
        <v>428</v>
      </c>
      <c r="BZ3">
        <v>439</v>
      </c>
    </row>
    <row r="4" spans="1:83">
      <c r="A4" s="25" t="s">
        <v>16</v>
      </c>
      <c r="D4" t="s">
        <v>17</v>
      </c>
      <c r="E4" s="5">
        <f>AVERAGE(E3:G3)</f>
        <v>340</v>
      </c>
      <c r="F4" s="5">
        <f>AVERAGE(F3:G3)</f>
        <v>336.5</v>
      </c>
      <c r="G4" s="5">
        <f>AVERAGE(G3:G3)</f>
        <v>334</v>
      </c>
      <c r="H4" s="5">
        <f>AVERAGE(H3:N3)</f>
        <v>336.85714285714283</v>
      </c>
      <c r="I4" s="5">
        <f>AVERAGE(I3:O3)</f>
        <v>334.28571428571428</v>
      </c>
      <c r="J4" s="5">
        <f>AVERAGE(J3:P3)</f>
        <v>332.71428571428572</v>
      </c>
      <c r="K4" s="5">
        <f>AVERAGE(K3:Q3)</f>
        <v>331</v>
      </c>
      <c r="L4" s="5">
        <f>AVERAGE(L3:R3)</f>
        <v>330.42857142857144</v>
      </c>
      <c r="M4" s="5">
        <f>AVERAGE(M3:S3)</f>
        <v>331.42857142857144</v>
      </c>
      <c r="N4" s="5">
        <f>AVERAGE(N3:S3)</f>
        <v>331</v>
      </c>
      <c r="O4" s="5">
        <f>AVERAGE(O3:S3)</f>
        <v>332.6</v>
      </c>
      <c r="P4" s="5">
        <f>AVERAGE(P3:S3)</f>
        <v>333.75</v>
      </c>
      <c r="Q4" s="5">
        <f>AVERAGE(Q3:S3)</f>
        <v>336.33333333333331</v>
      </c>
      <c r="R4" s="5">
        <f>AVERAGE(R3:S3)</f>
        <v>340.5</v>
      </c>
      <c r="S4" s="5">
        <f>AVERAGE(S3)</f>
        <v>349</v>
      </c>
      <c r="T4" s="5">
        <f>AVERAGE(T3:AE3)</f>
        <v>375.41666666666669</v>
      </c>
      <c r="U4" s="5">
        <f>AVERAGE(U3:AE3)</f>
        <v>376.81818181818181</v>
      </c>
      <c r="V4" s="5">
        <f>AVERAGE(V3:AE3)</f>
        <v>378.5</v>
      </c>
      <c r="W4" s="5">
        <f>AVERAGE(W3:AE3)</f>
        <v>380.22222222222223</v>
      </c>
      <c r="X4" s="5">
        <f>AVERAGE(X3:AE3)</f>
        <v>381.375</v>
      </c>
      <c r="Y4" s="5">
        <f>AVERAGE(Y3:AE3)</f>
        <v>381.85714285714283</v>
      </c>
      <c r="Z4" s="5">
        <f>AVERAGE(Z3:AE3)</f>
        <v>383.16666666666669</v>
      </c>
      <c r="AA4" s="5">
        <f>AVERAGE(AA3:AE3)</f>
        <v>384.8</v>
      </c>
      <c r="AB4" s="5">
        <f>AVERAGE(AB3:AE3)</f>
        <v>387</v>
      </c>
      <c r="AC4" s="5">
        <f>AVERAGE(AC3:AE3)</f>
        <v>388.33333333333331</v>
      </c>
      <c r="AD4" s="5">
        <f>AVERAGE(AD3:AE3)</f>
        <v>389</v>
      </c>
      <c r="AE4" s="5">
        <f>AVERAGE(AE3)</f>
        <v>392</v>
      </c>
      <c r="AF4" s="5">
        <f>AVERAGE(AF3:AQ3)</f>
        <v>396.33333333333331</v>
      </c>
      <c r="AG4" s="5">
        <f>AVERAGE(AG3:AQ3)</f>
        <v>395.54545454545456</v>
      </c>
      <c r="AH4" s="5">
        <f>AVERAGE(AH3:AQ3)</f>
        <v>394.4</v>
      </c>
      <c r="AI4" s="5">
        <f>AVERAGE(AI3:AQ3)</f>
        <v>393.88888888888891</v>
      </c>
      <c r="AJ4" s="5">
        <f>AVERAGE(AJ3:AQ3)</f>
        <v>393.625</v>
      </c>
      <c r="AK4" s="5">
        <f>AVERAGE(AK3:AQ3)</f>
        <v>393.28571428571428</v>
      </c>
      <c r="AL4" s="5">
        <f>AVERAGE(AL3:AQ3)</f>
        <v>392.66666666666669</v>
      </c>
      <c r="AM4" s="5">
        <f>AVERAGE(AM3:AQ3)</f>
        <v>391.2</v>
      </c>
      <c r="AN4" s="5">
        <f>AVERAGE(AN3:AQ3)</f>
        <v>390.25</v>
      </c>
      <c r="AO4" s="5">
        <f>AVERAGE(AO3:AQ3)</f>
        <v>391.33333333333331</v>
      </c>
      <c r="AP4" s="5">
        <f>AVERAGE(AP3:AQ3)</f>
        <v>394.5</v>
      </c>
      <c r="AQ4" s="5">
        <f>AVERAGE(AQ3:AQ3)</f>
        <v>397</v>
      </c>
      <c r="AR4" s="5">
        <f>AVERAGE(AR3:BC3)</f>
        <v>420.66666666666669</v>
      </c>
      <c r="AS4" s="5">
        <f>AVERAGE(AS3:BC3)</f>
        <v>420.90909090909093</v>
      </c>
      <c r="AT4" s="5">
        <f>AVERAGE(AT3:BC3)</f>
        <v>421.3</v>
      </c>
      <c r="AU4" s="5">
        <f>AVERAGE(AU3:BC3)</f>
        <v>421.33333333333331</v>
      </c>
      <c r="AV4" s="5">
        <f>AVERAGE(AV3:BC3)</f>
        <v>420.75</v>
      </c>
      <c r="AW4" s="5">
        <f>AVERAGE(AW3:BC3)</f>
        <v>421.28571428571428</v>
      </c>
      <c r="AX4" s="5">
        <f>AVERAGE(AX3:BC3)</f>
        <v>420.83333333333331</v>
      </c>
      <c r="AY4" s="5">
        <f>AVERAGE(AY3:BC3)</f>
        <v>420.2</v>
      </c>
      <c r="AZ4" s="5">
        <f>AVERAGE(AZ3:BC3)</f>
        <v>420.25</v>
      </c>
      <c r="BA4" s="5">
        <f>AVERAGE(BA3:BC3)</f>
        <v>420.33333333333331</v>
      </c>
      <c r="BB4" s="5">
        <f>AVERAGE(BB3:BC3)</f>
        <v>419</v>
      </c>
      <c r="BC4" s="5">
        <f>AVERAGE(BC3:BC3)</f>
        <v>421</v>
      </c>
      <c r="BD4" s="5">
        <f>AVERAGE(BD3:BN3)</f>
        <v>442.54545454545456</v>
      </c>
      <c r="BE4" s="5">
        <f>AVERAGE(BE3:BN3)</f>
        <v>441.7</v>
      </c>
      <c r="BF4" s="5">
        <f>AVERAGE(BF3:BN3)</f>
        <v>441.22222222222223</v>
      </c>
      <c r="BG4" s="5">
        <f>AVERAGE(BG3:BN3)</f>
        <v>441.25</v>
      </c>
      <c r="BH4" s="5">
        <f>AVERAGE(BH3:BN3)</f>
        <v>441.57142857142856</v>
      </c>
      <c r="BI4" s="5">
        <f>AVERAGE(BI3:BN3)</f>
        <v>443.33333333333331</v>
      </c>
      <c r="BJ4" s="5">
        <f>AVERAGE(BJ3:BN3)</f>
        <v>444</v>
      </c>
      <c r="BK4" s="5">
        <f>AVERAGE(BK3:BN3)</f>
        <v>443.75</v>
      </c>
      <c r="BL4" s="5">
        <f>AVERAGE(BL3:BN3)</f>
        <v>444.66666666666669</v>
      </c>
      <c r="BM4" s="5">
        <f>AVERAGE(BM3:BN3)</f>
        <v>445</v>
      </c>
      <c r="BN4" s="5">
        <f>+BN3</f>
        <v>449</v>
      </c>
      <c r="BO4" s="5">
        <f>AVERAGE(BP3:BZ3)</f>
        <v>432.36363636363637</v>
      </c>
      <c r="BP4" s="5">
        <f>AVERAGE(BP3:BZ3)</f>
        <v>432.36363636363637</v>
      </c>
      <c r="BQ4" s="5">
        <f>AVERAGE(BQ3:BZ3)</f>
        <v>431.8</v>
      </c>
      <c r="BR4" s="5">
        <f>AVERAGE(BR3:BZ3)</f>
        <v>431.22222222222223</v>
      </c>
      <c r="BS4" s="5">
        <f>AVERAGE(BS3:BZ3)</f>
        <v>430.75</v>
      </c>
      <c r="BT4" s="5">
        <f>AVERAGE(BT3:BZ3)</f>
        <v>430.42857142857144</v>
      </c>
      <c r="BU4" s="5">
        <f>AVERAGE(BU3:BZ3)</f>
        <v>430.16666666666669</v>
      </c>
      <c r="BV4" s="5">
        <f>AVERAGE(BV3:BZ3)</f>
        <v>430.2</v>
      </c>
      <c r="BW4" s="5">
        <f>AVERAGE(BW3:BZ3)</f>
        <v>430.75</v>
      </c>
      <c r="BX4" s="5">
        <f>AVERAGE(BX3:BY3)</f>
        <v>427</v>
      </c>
      <c r="BY4" s="5">
        <f>AVERAGE(BY3:BZ3)</f>
        <v>433.5</v>
      </c>
      <c r="BZ4">
        <f>+BZ3</f>
        <v>439</v>
      </c>
    </row>
    <row r="5" spans="1:83">
      <c r="A5" t="s">
        <v>18</v>
      </c>
      <c r="D5" t="s">
        <v>19</v>
      </c>
      <c r="E5">
        <v>382</v>
      </c>
      <c r="F5">
        <v>382</v>
      </c>
      <c r="G5">
        <v>382</v>
      </c>
      <c r="H5">
        <v>363</v>
      </c>
      <c r="I5">
        <v>363</v>
      </c>
      <c r="J5">
        <v>363</v>
      </c>
      <c r="K5">
        <v>363</v>
      </c>
      <c r="L5">
        <v>363</v>
      </c>
      <c r="M5">
        <v>363</v>
      </c>
      <c r="N5">
        <v>363</v>
      </c>
      <c r="O5">
        <v>363</v>
      </c>
      <c r="P5">
        <v>363</v>
      </c>
      <c r="Q5">
        <v>363</v>
      </c>
      <c r="R5">
        <v>363</v>
      </c>
      <c r="S5">
        <v>363</v>
      </c>
      <c r="T5">
        <v>415</v>
      </c>
      <c r="U5">
        <v>415</v>
      </c>
      <c r="V5">
        <v>415</v>
      </c>
      <c r="W5">
        <v>415</v>
      </c>
      <c r="X5">
        <v>415</v>
      </c>
      <c r="Y5">
        <v>415</v>
      </c>
      <c r="Z5">
        <v>415</v>
      </c>
      <c r="AA5">
        <v>415</v>
      </c>
      <c r="AB5">
        <v>415</v>
      </c>
      <c r="AC5">
        <v>415</v>
      </c>
      <c r="AD5">
        <v>415</v>
      </c>
      <c r="AE5">
        <v>415</v>
      </c>
      <c r="AF5">
        <v>415</v>
      </c>
      <c r="AG5">
        <v>415</v>
      </c>
      <c r="AH5">
        <v>415</v>
      </c>
      <c r="AI5">
        <v>415</v>
      </c>
      <c r="AJ5">
        <v>415</v>
      </c>
      <c r="AK5">
        <v>415</v>
      </c>
      <c r="AL5">
        <v>415</v>
      </c>
      <c r="AM5">
        <v>415</v>
      </c>
      <c r="AN5">
        <v>415</v>
      </c>
      <c r="AO5">
        <v>415</v>
      </c>
      <c r="AP5">
        <v>415</v>
      </c>
      <c r="AQ5">
        <v>415</v>
      </c>
      <c r="AR5">
        <v>445</v>
      </c>
      <c r="AS5">
        <v>445</v>
      </c>
      <c r="AT5">
        <v>445</v>
      </c>
      <c r="AU5">
        <v>445</v>
      </c>
      <c r="AV5">
        <v>445</v>
      </c>
      <c r="AW5">
        <v>445</v>
      </c>
      <c r="AX5">
        <v>445</v>
      </c>
      <c r="AY5">
        <v>445</v>
      </c>
      <c r="AZ5">
        <v>445</v>
      </c>
      <c r="BA5">
        <v>445</v>
      </c>
      <c r="BB5">
        <v>445</v>
      </c>
      <c r="BC5">
        <v>445</v>
      </c>
      <c r="BD5">
        <v>461</v>
      </c>
      <c r="BE5">
        <v>461</v>
      </c>
      <c r="BF5">
        <v>461</v>
      </c>
      <c r="BG5">
        <v>461</v>
      </c>
      <c r="BH5">
        <v>461</v>
      </c>
      <c r="BI5">
        <v>461</v>
      </c>
      <c r="BJ5">
        <v>461</v>
      </c>
      <c r="BK5">
        <v>461</v>
      </c>
      <c r="BL5">
        <v>461</v>
      </c>
      <c r="BM5">
        <v>461</v>
      </c>
      <c r="BN5">
        <v>461</v>
      </c>
      <c r="BO5">
        <v>460</v>
      </c>
      <c r="BP5">
        <v>460</v>
      </c>
      <c r="BQ5">
        <v>460</v>
      </c>
      <c r="BR5">
        <v>460</v>
      </c>
      <c r="BS5">
        <v>460</v>
      </c>
      <c r="BT5">
        <v>460</v>
      </c>
      <c r="BU5">
        <v>460</v>
      </c>
      <c r="BV5">
        <v>460</v>
      </c>
      <c r="BW5">
        <v>460</v>
      </c>
      <c r="BX5">
        <v>460</v>
      </c>
      <c r="BY5">
        <v>460</v>
      </c>
      <c r="BZ5">
        <v>460</v>
      </c>
    </row>
    <row r="6" spans="1:83">
      <c r="A6" t="s">
        <v>20</v>
      </c>
      <c r="D6" t="s">
        <v>21</v>
      </c>
      <c r="E6" s="5">
        <f>+E4-E5</f>
        <v>-42</v>
      </c>
      <c r="F6" s="5">
        <f>+F4-F5</f>
        <v>-45.5</v>
      </c>
      <c r="G6" s="5">
        <f>+G4-G5</f>
        <v>-48</v>
      </c>
      <c r="H6" s="5">
        <f>+H4-H5</f>
        <v>-26.142857142857167</v>
      </c>
      <c r="I6" s="5">
        <f>+I4-I5</f>
        <v>-28.714285714285722</v>
      </c>
      <c r="J6" s="5">
        <f>+J4-J5</f>
        <v>-30.285714285714278</v>
      </c>
      <c r="K6" s="5">
        <f>+K4-K5</f>
        <v>-32</v>
      </c>
      <c r="L6" s="5">
        <f>+L4-L5</f>
        <v>-32.571428571428555</v>
      </c>
      <c r="M6" s="5">
        <f>+M4-M5</f>
        <v>-31.571428571428555</v>
      </c>
      <c r="N6" s="5">
        <f>+N4-N5</f>
        <v>-32</v>
      </c>
      <c r="O6" s="5">
        <f t="shared" ref="O6:BZ6" si="0">+O4-O5</f>
        <v>-30.399999999999977</v>
      </c>
      <c r="P6" s="5">
        <f t="shared" si="0"/>
        <v>-29.25</v>
      </c>
      <c r="Q6" s="5">
        <f t="shared" si="0"/>
        <v>-26.666666666666686</v>
      </c>
      <c r="R6" s="5">
        <f t="shared" si="0"/>
        <v>-22.5</v>
      </c>
      <c r="S6" s="5">
        <f t="shared" si="0"/>
        <v>-14</v>
      </c>
      <c r="T6" s="5">
        <f t="shared" si="0"/>
        <v>-39.583333333333314</v>
      </c>
      <c r="U6" s="5">
        <f t="shared" si="0"/>
        <v>-38.181818181818187</v>
      </c>
      <c r="V6" s="5">
        <f t="shared" si="0"/>
        <v>-36.5</v>
      </c>
      <c r="W6" s="5">
        <f t="shared" si="0"/>
        <v>-34.777777777777771</v>
      </c>
      <c r="X6" s="5">
        <f t="shared" si="0"/>
        <v>-33.625</v>
      </c>
      <c r="Y6" s="5">
        <f t="shared" si="0"/>
        <v>-33.142857142857167</v>
      </c>
      <c r="Z6" s="5">
        <f t="shared" si="0"/>
        <v>-31.833333333333314</v>
      </c>
      <c r="AA6" s="5">
        <f t="shared" si="0"/>
        <v>-30.199999999999989</v>
      </c>
      <c r="AB6" s="5">
        <f t="shared" si="0"/>
        <v>-28</v>
      </c>
      <c r="AC6" s="5">
        <f t="shared" si="0"/>
        <v>-26.666666666666686</v>
      </c>
      <c r="AD6" s="5">
        <f t="shared" si="0"/>
        <v>-26</v>
      </c>
      <c r="AE6" s="5">
        <f t="shared" si="0"/>
        <v>-23</v>
      </c>
      <c r="AF6" s="5">
        <f t="shared" si="0"/>
        <v>-18.666666666666686</v>
      </c>
      <c r="AG6" s="5">
        <f t="shared" si="0"/>
        <v>-19.454545454545439</v>
      </c>
      <c r="AH6" s="5">
        <f t="shared" si="0"/>
        <v>-20.600000000000023</v>
      </c>
      <c r="AI6" s="5">
        <f t="shared" si="0"/>
        <v>-21.111111111111086</v>
      </c>
      <c r="AJ6" s="5">
        <f t="shared" si="0"/>
        <v>-21.375</v>
      </c>
      <c r="AK6" s="5">
        <f t="shared" si="0"/>
        <v>-21.714285714285722</v>
      </c>
      <c r="AL6" s="5">
        <f t="shared" si="0"/>
        <v>-22.333333333333314</v>
      </c>
      <c r="AM6" s="5">
        <f t="shared" si="0"/>
        <v>-23.800000000000011</v>
      </c>
      <c r="AN6" s="5">
        <f t="shared" si="0"/>
        <v>-24.75</v>
      </c>
      <c r="AO6" s="5">
        <f t="shared" si="0"/>
        <v>-23.666666666666686</v>
      </c>
      <c r="AP6" s="5">
        <f t="shared" si="0"/>
        <v>-20.5</v>
      </c>
      <c r="AQ6" s="5">
        <f t="shared" si="0"/>
        <v>-18</v>
      </c>
      <c r="AR6" s="5">
        <f t="shared" si="0"/>
        <v>-24.333333333333314</v>
      </c>
      <c r="AS6" s="5">
        <f t="shared" si="0"/>
        <v>-24.090909090909065</v>
      </c>
      <c r="AT6" s="5">
        <f t="shared" si="0"/>
        <v>-23.699999999999989</v>
      </c>
      <c r="AU6" s="5">
        <f t="shared" si="0"/>
        <v>-23.666666666666686</v>
      </c>
      <c r="AV6" s="5">
        <f t="shared" si="0"/>
        <v>-24.25</v>
      </c>
      <c r="AW6" s="5">
        <f t="shared" si="0"/>
        <v>-23.714285714285722</v>
      </c>
      <c r="AX6" s="5">
        <f t="shared" si="0"/>
        <v>-24.166666666666686</v>
      </c>
      <c r="AY6" s="5">
        <f t="shared" si="0"/>
        <v>-24.800000000000011</v>
      </c>
      <c r="AZ6" s="5">
        <f t="shared" si="0"/>
        <v>-24.75</v>
      </c>
      <c r="BA6" s="5">
        <f t="shared" si="0"/>
        <v>-24.666666666666686</v>
      </c>
      <c r="BB6" s="5">
        <f t="shared" si="0"/>
        <v>-26</v>
      </c>
      <c r="BC6" s="5">
        <f t="shared" si="0"/>
        <v>-24</v>
      </c>
      <c r="BD6" s="5">
        <f t="shared" si="0"/>
        <v>-18.454545454545439</v>
      </c>
      <c r="BE6" s="5">
        <f t="shared" si="0"/>
        <v>-19.300000000000011</v>
      </c>
      <c r="BF6" s="5">
        <f t="shared" si="0"/>
        <v>-19.777777777777771</v>
      </c>
      <c r="BG6" s="5">
        <f t="shared" si="0"/>
        <v>-19.75</v>
      </c>
      <c r="BH6" s="5">
        <f t="shared" si="0"/>
        <v>-19.428571428571445</v>
      </c>
      <c r="BI6" s="5">
        <f t="shared" si="0"/>
        <v>-17.666666666666686</v>
      </c>
      <c r="BJ6" s="5">
        <f t="shared" si="0"/>
        <v>-17</v>
      </c>
      <c r="BK6" s="5">
        <f t="shared" si="0"/>
        <v>-17.25</v>
      </c>
      <c r="BL6" s="5">
        <f t="shared" si="0"/>
        <v>-16.333333333333314</v>
      </c>
      <c r="BM6" s="5">
        <f t="shared" si="0"/>
        <v>-16</v>
      </c>
      <c r="BN6" s="5">
        <f t="shared" si="0"/>
        <v>-12</v>
      </c>
      <c r="BO6" s="5">
        <f t="shared" si="0"/>
        <v>-27.636363636363626</v>
      </c>
      <c r="BP6" s="5">
        <f t="shared" si="0"/>
        <v>-27.636363636363626</v>
      </c>
      <c r="BQ6" s="5">
        <f t="shared" si="0"/>
        <v>-28.199999999999989</v>
      </c>
      <c r="BR6" s="5">
        <f t="shared" si="0"/>
        <v>-28.777777777777771</v>
      </c>
      <c r="BS6" s="5">
        <f t="shared" si="0"/>
        <v>-29.25</v>
      </c>
      <c r="BT6" s="5">
        <f t="shared" si="0"/>
        <v>-29.571428571428555</v>
      </c>
      <c r="BU6" s="5">
        <f t="shared" si="0"/>
        <v>-29.833333333333314</v>
      </c>
      <c r="BV6" s="5">
        <f t="shared" si="0"/>
        <v>-29.800000000000011</v>
      </c>
      <c r="BW6" s="5">
        <f t="shared" si="0"/>
        <v>-29.25</v>
      </c>
      <c r="BX6" s="5">
        <f t="shared" si="0"/>
        <v>-33</v>
      </c>
      <c r="BY6" s="5">
        <f t="shared" si="0"/>
        <v>-26.5</v>
      </c>
      <c r="BZ6" s="5">
        <f t="shared" si="0"/>
        <v>-21</v>
      </c>
    </row>
    <row r="7" spans="1:83">
      <c r="A7" t="s">
        <v>22</v>
      </c>
      <c r="D7" t="s">
        <v>23</v>
      </c>
      <c r="E7" s="7">
        <f>+E6*192</f>
        <v>-8064</v>
      </c>
      <c r="F7" s="7">
        <f>+F6*192</f>
        <v>-8736</v>
      </c>
      <c r="G7" s="7">
        <f>+G6*192</f>
        <v>-9216</v>
      </c>
      <c r="H7" s="7">
        <f t="shared" ref="H7:AE7" si="1">+H6*192</f>
        <v>-5019.4285714285761</v>
      </c>
      <c r="I7" s="7">
        <f t="shared" si="1"/>
        <v>-5513.1428571428587</v>
      </c>
      <c r="J7" s="7">
        <f t="shared" si="1"/>
        <v>-5814.8571428571413</v>
      </c>
      <c r="K7" s="7">
        <f t="shared" si="1"/>
        <v>-6144</v>
      </c>
      <c r="L7" s="7">
        <f t="shared" si="1"/>
        <v>-6253.7142857142826</v>
      </c>
      <c r="M7" s="7">
        <f t="shared" si="1"/>
        <v>-6061.7142857142826</v>
      </c>
      <c r="N7" s="7">
        <f t="shared" si="1"/>
        <v>-6144</v>
      </c>
      <c r="O7" s="7">
        <f t="shared" si="1"/>
        <v>-5836.7999999999956</v>
      </c>
      <c r="P7" s="7">
        <f t="shared" si="1"/>
        <v>-5616</v>
      </c>
      <c r="Q7" s="7">
        <f t="shared" si="1"/>
        <v>-5120.0000000000036</v>
      </c>
      <c r="R7" s="7">
        <f t="shared" si="1"/>
        <v>-4320</v>
      </c>
      <c r="S7" s="7">
        <f t="shared" si="1"/>
        <v>-2688</v>
      </c>
      <c r="T7" s="7">
        <f t="shared" si="1"/>
        <v>-7599.9999999999964</v>
      </c>
      <c r="U7" s="7">
        <f t="shared" si="1"/>
        <v>-7330.9090909090919</v>
      </c>
      <c r="V7" s="7">
        <f t="shared" si="1"/>
        <v>-7008</v>
      </c>
      <c r="W7" s="7">
        <f t="shared" si="1"/>
        <v>-6677.3333333333321</v>
      </c>
      <c r="X7" s="7">
        <f t="shared" si="1"/>
        <v>-6456</v>
      </c>
      <c r="Y7" s="7">
        <f t="shared" si="1"/>
        <v>-6363.4285714285761</v>
      </c>
      <c r="Z7" s="7">
        <f t="shared" si="1"/>
        <v>-6111.9999999999964</v>
      </c>
      <c r="AA7" s="7">
        <f t="shared" si="1"/>
        <v>-5798.3999999999978</v>
      </c>
      <c r="AB7" s="7">
        <f t="shared" si="1"/>
        <v>-5376</v>
      </c>
      <c r="AC7" s="7">
        <f t="shared" si="1"/>
        <v>-5120.0000000000036</v>
      </c>
      <c r="AD7" s="7">
        <f t="shared" si="1"/>
        <v>-4992</v>
      </c>
      <c r="AE7" s="7">
        <f t="shared" si="1"/>
        <v>-4416</v>
      </c>
      <c r="AF7" s="7">
        <f t="shared" ref="AF7:BZ7" si="2">+AF6*168</f>
        <v>-3136.0000000000032</v>
      </c>
      <c r="AG7" s="7">
        <f t="shared" si="2"/>
        <v>-3268.3636363636338</v>
      </c>
      <c r="AH7" s="7">
        <f t="shared" si="2"/>
        <v>-3460.8000000000038</v>
      </c>
      <c r="AI7" s="7">
        <f t="shared" si="2"/>
        <v>-3546.6666666666624</v>
      </c>
      <c r="AJ7" s="7">
        <f t="shared" si="2"/>
        <v>-3591</v>
      </c>
      <c r="AK7" s="7">
        <f t="shared" si="2"/>
        <v>-3648.0000000000014</v>
      </c>
      <c r="AL7" s="7">
        <f t="shared" si="2"/>
        <v>-3751.9999999999968</v>
      </c>
      <c r="AM7" s="7">
        <f t="shared" si="2"/>
        <v>-3998.4000000000019</v>
      </c>
      <c r="AN7" s="7">
        <f t="shared" si="2"/>
        <v>-4158</v>
      </c>
      <c r="AO7" s="7">
        <f t="shared" si="2"/>
        <v>-3976.0000000000032</v>
      </c>
      <c r="AP7" s="7">
        <f t="shared" si="2"/>
        <v>-3444</v>
      </c>
      <c r="AQ7" s="7">
        <f t="shared" si="2"/>
        <v>-3024</v>
      </c>
      <c r="AR7" s="7">
        <f t="shared" si="2"/>
        <v>-4087.9999999999968</v>
      </c>
      <c r="AS7" s="7">
        <f t="shared" si="2"/>
        <v>-4047.2727272727229</v>
      </c>
      <c r="AT7" s="7">
        <f t="shared" si="2"/>
        <v>-3981.5999999999981</v>
      </c>
      <c r="AU7" s="7">
        <f t="shared" si="2"/>
        <v>-3976.0000000000032</v>
      </c>
      <c r="AV7" s="7">
        <f t="shared" si="2"/>
        <v>-4074</v>
      </c>
      <c r="AW7" s="7">
        <f t="shared" si="2"/>
        <v>-3984.0000000000014</v>
      </c>
      <c r="AX7" s="7">
        <f t="shared" si="2"/>
        <v>-4060.0000000000032</v>
      </c>
      <c r="AY7" s="7">
        <f t="shared" si="2"/>
        <v>-4166.4000000000015</v>
      </c>
      <c r="AZ7" s="7">
        <f t="shared" si="2"/>
        <v>-4158</v>
      </c>
      <c r="BA7" s="7">
        <f t="shared" si="2"/>
        <v>-4144.0000000000036</v>
      </c>
      <c r="BB7" s="7">
        <f t="shared" si="2"/>
        <v>-4368</v>
      </c>
      <c r="BC7" s="7">
        <f t="shared" si="2"/>
        <v>-4032</v>
      </c>
      <c r="BD7" s="7">
        <f t="shared" si="2"/>
        <v>-3100.3636363636338</v>
      </c>
      <c r="BE7" s="7">
        <f t="shared" si="2"/>
        <v>-3242.4000000000019</v>
      </c>
      <c r="BF7" s="7">
        <f t="shared" si="2"/>
        <v>-3322.6666666666656</v>
      </c>
      <c r="BG7" s="7">
        <f t="shared" si="2"/>
        <v>-3318</v>
      </c>
      <c r="BH7" s="7">
        <f t="shared" si="2"/>
        <v>-3264.0000000000027</v>
      </c>
      <c r="BI7" s="7">
        <f t="shared" si="2"/>
        <v>-2968.0000000000032</v>
      </c>
      <c r="BJ7" s="7">
        <f t="shared" si="2"/>
        <v>-2856</v>
      </c>
      <c r="BK7" s="7">
        <f t="shared" si="2"/>
        <v>-2898</v>
      </c>
      <c r="BL7" s="7">
        <f t="shared" si="2"/>
        <v>-2743.9999999999968</v>
      </c>
      <c r="BM7" s="7">
        <f t="shared" si="2"/>
        <v>-2688</v>
      </c>
      <c r="BN7" s="7">
        <f t="shared" si="2"/>
        <v>-2016</v>
      </c>
      <c r="BO7" s="7">
        <f t="shared" si="2"/>
        <v>-4642.9090909090892</v>
      </c>
      <c r="BP7" s="7">
        <f t="shared" si="2"/>
        <v>-4642.9090909090892</v>
      </c>
      <c r="BQ7" s="7">
        <f t="shared" si="2"/>
        <v>-4737.5999999999985</v>
      </c>
      <c r="BR7" s="7">
        <f t="shared" si="2"/>
        <v>-4834.6666666666661</v>
      </c>
      <c r="BS7" s="7">
        <f t="shared" si="2"/>
        <v>-4914</v>
      </c>
      <c r="BT7" s="7">
        <f t="shared" si="2"/>
        <v>-4967.9999999999973</v>
      </c>
      <c r="BU7" s="7">
        <f t="shared" si="2"/>
        <v>-5011.9999999999964</v>
      </c>
      <c r="BV7" s="7">
        <f t="shared" si="2"/>
        <v>-5006.4000000000015</v>
      </c>
      <c r="BW7" s="7">
        <f t="shared" si="2"/>
        <v>-4914</v>
      </c>
      <c r="BX7" s="7">
        <f t="shared" si="2"/>
        <v>-5544</v>
      </c>
      <c r="BY7" s="7">
        <f t="shared" si="2"/>
        <v>-4452</v>
      </c>
      <c r="BZ7" s="7">
        <f t="shared" si="2"/>
        <v>-3528</v>
      </c>
    </row>
    <row r="9" spans="1:83">
      <c r="A9" s="25" t="s">
        <v>24</v>
      </c>
      <c r="D9" t="s">
        <v>25</v>
      </c>
      <c r="E9" s="23">
        <f>81144.43-52498.67-18150-2073</f>
        <v>8422.7599999999948</v>
      </c>
      <c r="F9" s="23">
        <f>69786.97-48718.17-16912.5-0</f>
        <v>4156.3000000000029</v>
      </c>
      <c r="G9" s="23">
        <f>55961.81-42379.83-11800-0</f>
        <v>1781.9799999999959</v>
      </c>
      <c r="H9" s="23">
        <f>138799.03-64867.67-21912.5-17986</f>
        <v>34032.86</v>
      </c>
      <c r="I9" s="23">
        <f>133534.81-64755.67-21537.5-16564</f>
        <v>30677.64</v>
      </c>
      <c r="J9" s="23">
        <f>126103.4-64323.67-21412.5-11643</f>
        <v>28724.229999999996</v>
      </c>
      <c r="K9" s="23">
        <f>118942.92-63907.67-21262.5-10851</f>
        <v>22921.75</v>
      </c>
      <c r="L9" s="23">
        <f>112645.56-63250.17-21062.5-10851</f>
        <v>17481.89</v>
      </c>
      <c r="M9" s="23">
        <f>105714.78-61650.17-20562.5-10851</f>
        <v>12651.11</v>
      </c>
      <c r="N9" s="13">
        <f>(101207.39-59922.17-20000-10851)</f>
        <v>10434.220000000001</v>
      </c>
      <c r="O9" s="13">
        <f>(96736.21-58194.17-18837.5-10851)</f>
        <v>8853.5400000000081</v>
      </c>
      <c r="P9" s="13">
        <f>(90616.76-55874.17-18237.5 -9511)</f>
        <v>6994.0899999999965</v>
      </c>
      <c r="Q9" s="13">
        <f>(85270.86-52956.17-17575-9298)</f>
        <v>5441.6900000000023</v>
      </c>
      <c r="R9" s="13">
        <f>(78275.58-49836.17-16250-8497)</f>
        <v>3692.4100000000035</v>
      </c>
      <c r="S9" s="13">
        <f>(67368.02-45912.67-14975-3559)</f>
        <v>2921.3500000000058</v>
      </c>
      <c r="T9" s="13">
        <f>(137306.14-67877.92-20200-30214)</f>
        <v>19014.220000000016</v>
      </c>
      <c r="U9" s="13">
        <f>(136448.28-67877.92-20200-30114)</f>
        <v>18256.36</v>
      </c>
      <c r="V9" s="13">
        <f>(134507.89-67669.92-20125-30114)</f>
        <v>16598.970000000016</v>
      </c>
      <c r="W9" s="13">
        <f>(132419.84-67269.92-20000-30114)</f>
        <v>15035.919999999998</v>
      </c>
      <c r="X9" s="13">
        <f>(130087.57-66753.17-19687.5-30114)</f>
        <v>13532.900000000009</v>
      </c>
      <c r="Y9" s="13">
        <f>(127052.36-65745.17-19381.63-30114)</f>
        <v>11811.559999999998</v>
      </c>
      <c r="Z9" s="13">
        <f>(123915.64-30114-18875-64465.17)</f>
        <v>10461.470000000001</v>
      </c>
      <c r="AA9" s="13">
        <f>(119400.68-30114-17675-62689.17)</f>
        <v>8922.5099999999948</v>
      </c>
      <c r="AB9" s="13">
        <f>(115089.98-30114-16637.5-60369.17)</f>
        <v>7969.3099999999977</v>
      </c>
      <c r="AC9" s="13">
        <f>(104401.99-24697-15950-57627.17)</f>
        <v>6127.820000000007</v>
      </c>
      <c r="AD9" s="13">
        <f>(77385.8-5317-14845.47-52892.33)</f>
        <v>4331</v>
      </c>
      <c r="AE9" s="13">
        <f>(62340.33-13675-46824.33)</f>
        <v>1841</v>
      </c>
      <c r="AF9" s="13">
        <f>(154801.49-68573.91-39133-19800)</f>
        <v>27294.579999999987</v>
      </c>
      <c r="AG9" s="13">
        <f>(153315.22-68538.91-39133-19950)</f>
        <v>25693.309999999998</v>
      </c>
      <c r="AH9" s="13">
        <f>(151296.12-68272.91-39133-19762.5)</f>
        <v>24127.709999999992</v>
      </c>
      <c r="AI9" s="13">
        <f>(147112.31-67824.91-39133-19550)</f>
        <v>20604.399999999994</v>
      </c>
      <c r="AJ9" s="13">
        <f>(142407.77-39133-66893.91-19387.5)</f>
        <v>16993.359999999986</v>
      </c>
      <c r="AK9" s="13">
        <f>(139856.59-39133-66263.91-19062.5)</f>
        <v>15397.179999999993</v>
      </c>
      <c r="AL9" s="13">
        <f>(136007.43-39133-64842.16-18587.5)</f>
        <v>13444.76999999999</v>
      </c>
      <c r="AM9" s="13">
        <f>(131771.28-63099-39133-17437.5)</f>
        <v>12101.779999999999</v>
      </c>
      <c r="AN9" s="13">
        <f>(125494.11-39091-60656.16-16737.5)</f>
        <v>9009.4499999999971</v>
      </c>
      <c r="AO9" s="13">
        <f>(111292.57-57086.5-15950-31766)</f>
        <v>6490.070000000007</v>
      </c>
      <c r="AP9" s="13">
        <f>(80242.26-8204-15400-52420.59)</f>
        <v>4217.6699999999983</v>
      </c>
      <c r="AQ9" s="13">
        <f>(64009.71-13787.5-47447.59)</f>
        <v>2774.6200000000026</v>
      </c>
      <c r="AR9" s="16">
        <v>31472.04</v>
      </c>
      <c r="AS9" s="16">
        <v>30311.14</v>
      </c>
      <c r="AT9" s="16">
        <v>28557.37</v>
      </c>
      <c r="AU9" s="16">
        <v>27103.56</v>
      </c>
      <c r="AV9" s="16">
        <v>24629.8</v>
      </c>
      <c r="AW9" s="1">
        <f>152288.03-70003.48-19432.5-39847</f>
        <v>23005.050000000003</v>
      </c>
      <c r="AX9" s="1">
        <f>147875.59-39847-68561.48-18545</f>
        <v>20922.11</v>
      </c>
      <c r="AY9" s="1">
        <f>137852.19-67063.48-17420-36040</f>
        <v>17328.710000000006</v>
      </c>
      <c r="AZ9" s="1">
        <f>127375.56-29573-65297.23-17057.5</f>
        <v>15447.829999999994</v>
      </c>
      <c r="BA9" s="1">
        <f>100592.34-62570.56-16307.5-8244</f>
        <v>13470.279999999999</v>
      </c>
      <c r="BB9" s="1">
        <f>80791.57-56664.15-15745</f>
        <v>8382.4200000000055</v>
      </c>
      <c r="BC9" s="1">
        <f>70654.5-14395-50670.65</f>
        <v>5588.8499999999985</v>
      </c>
      <c r="BD9" s="1">
        <f>186541.69-50742-73758.84-21200</f>
        <v>40840.850000000006</v>
      </c>
      <c r="BE9" s="1">
        <f>179593.44-50742-73555.84-21187.5</f>
        <v>34108.100000000006</v>
      </c>
      <c r="BF9" s="1">
        <f>168214.77-73037.84-21062.5-50742</f>
        <v>23372.429999999993</v>
      </c>
      <c r="BG9" s="1">
        <f>165275.02-50742-72421.84-20762.5</f>
        <v>21348.679999999993</v>
      </c>
      <c r="BH9" s="1">
        <f>161997.84-50677-20625-71189.84</f>
        <v>19506</v>
      </c>
      <c r="BI9" s="1">
        <f>158489.58-50677-69999.84-19787.5</f>
        <v>18025.239999999991</v>
      </c>
      <c r="BJ9" s="1">
        <f>152773.52-18587.5-68899.94-49811</f>
        <v>15475.079999999987</v>
      </c>
      <c r="BK9" s="1">
        <f>142850.75-43480-66953.84-18050</f>
        <v>14366.910000000003</v>
      </c>
      <c r="BL9" s="1">
        <f>117858.96-25433-64007.84-17262.5</f>
        <v>11155.62000000001</v>
      </c>
      <c r="BM9" s="1">
        <f>103380.46-19355-60530.17-16575</f>
        <v>6920.2900000000081</v>
      </c>
      <c r="BN9" s="1">
        <f>91409.49-17515-53484.25-14875</f>
        <v>5535.2400000000052</v>
      </c>
      <c r="CE9" t="s">
        <v>26</v>
      </c>
    </row>
    <row r="10" spans="1:83">
      <c r="A10" s="25" t="s">
        <v>27</v>
      </c>
      <c r="D10" t="s">
        <v>28</v>
      </c>
      <c r="E10" s="14">
        <f>(165901-74055-20000-46731)/12*3</f>
        <v>6278.75</v>
      </c>
      <c r="F10" s="14">
        <f>(165901-74055-20000-46731)/12*2</f>
        <v>4185.833333333333</v>
      </c>
      <c r="G10" s="14">
        <f>(165901-74055-20000-46731)/12*1</f>
        <v>2092.9166666666665</v>
      </c>
      <c r="H10" s="14">
        <f>(165901-74055-20000-46731)/12*12</f>
        <v>25115</v>
      </c>
      <c r="I10" s="14">
        <f>(165901-74055-20000-46731)/12*11</f>
        <v>23022.083333333332</v>
      </c>
      <c r="J10" s="14">
        <f>(165901-74055-20000-46731)/12*10</f>
        <v>20929.166666666664</v>
      </c>
      <c r="K10" s="14">
        <f>(165901-74055-20000-46731)/12*9</f>
        <v>18836.25</v>
      </c>
      <c r="L10" s="14">
        <f>(165901-74055-20000-46731)/12*8</f>
        <v>16743.333333333332</v>
      </c>
      <c r="M10" s="14">
        <f>(165901-74055-20000-46731)/12*7</f>
        <v>14650.416666666666</v>
      </c>
      <c r="N10" s="14">
        <f>(165901-74055-20000-46731)/12*6</f>
        <v>12557.5</v>
      </c>
      <c r="O10" s="14">
        <f>(165901-74055-20000-46731)/12*5</f>
        <v>10464.583333333332</v>
      </c>
      <c r="P10" s="14">
        <f>(165901-74055-20000-46731)/12*4</f>
        <v>8371.6666666666661</v>
      </c>
      <c r="Q10" s="14">
        <f>(165901-74055-20000-46731)/12*3</f>
        <v>6278.75</v>
      </c>
      <c r="R10" s="14">
        <f>(165901-74055-20000-46731)/12*2</f>
        <v>4185.833333333333</v>
      </c>
      <c r="S10" s="14">
        <f>(165901-74055-20000-46731)/12*1</f>
        <v>2092.9166666666665</v>
      </c>
      <c r="T10" s="14">
        <f>(173742-84165-20000-44486)/12*12</f>
        <v>25091</v>
      </c>
      <c r="U10" s="14">
        <f>(173742-84165-20000-44486)/12*11</f>
        <v>23000.083333333332</v>
      </c>
      <c r="V10" s="14">
        <f>(173742-84165-20000-44486)/12*10</f>
        <v>20909.166666666664</v>
      </c>
      <c r="W10" s="14">
        <f>(173742-84165-20000-44486)/12*9</f>
        <v>18818.25</v>
      </c>
      <c r="X10" s="14">
        <f>(173742-84165-20000-44486)/12*8</f>
        <v>16727.333333333332</v>
      </c>
      <c r="Y10" s="14">
        <f>(173742-84165-20000-44486)/12*7</f>
        <v>14636.416666666666</v>
      </c>
      <c r="Z10" s="14">
        <f>(173742-84165-20000-44486)/12*6</f>
        <v>12545.5</v>
      </c>
      <c r="AA10" s="14">
        <f>(173742-84165-20000-44486)/12*5</f>
        <v>10454.583333333332</v>
      </c>
      <c r="AB10" s="14">
        <f>(173742-84165-20000-44486)/12*4</f>
        <v>8363.6666666666661</v>
      </c>
      <c r="AC10" s="14">
        <f>(173742-84165-20000-44486)/12*3</f>
        <v>6272.75</v>
      </c>
      <c r="AD10" s="14">
        <f>(173742-84165-20000-44486)/12*2</f>
        <v>4181.833333333333</v>
      </c>
      <c r="AE10" s="14">
        <f>(173742-84165-20000-44486)/12*1</f>
        <v>2090.9166666666665</v>
      </c>
      <c r="AF10" s="14">
        <f>(161708-73902-42162-20000)/12*12</f>
        <v>25644</v>
      </c>
      <c r="AG10" s="14">
        <f>(161708-73902-42162-20000)/12*11</f>
        <v>23507</v>
      </c>
      <c r="AH10" s="14">
        <f>(161708-73902-42162-20000)/12*10</f>
        <v>21370</v>
      </c>
      <c r="AI10" s="14">
        <f>(161708-73902-42162-20000)/12*9</f>
        <v>19233</v>
      </c>
      <c r="AJ10" s="14">
        <f>(161708-73902-42162-20000)/12*8</f>
        <v>17096</v>
      </c>
      <c r="AK10" s="14">
        <f>(161708-73902-42162-20000)/12*7</f>
        <v>14959</v>
      </c>
      <c r="AL10" s="14">
        <f>(161708-73902-42162-20000)/12*6</f>
        <v>12822</v>
      </c>
      <c r="AM10" s="14">
        <f>(161708-73902-42162-20000)/12*5</f>
        <v>10685</v>
      </c>
      <c r="AN10" s="14">
        <f>(161708-73902-42162-20000)/12*4</f>
        <v>8548</v>
      </c>
      <c r="AO10" s="14">
        <f>(161708-73902-42162-20000)/12*3</f>
        <v>6411</v>
      </c>
      <c r="AP10" s="14">
        <f>(161708-73902-42162-20000)/12*2</f>
        <v>4274</v>
      </c>
      <c r="AQ10" s="14">
        <f>(161708-73902-42162-20000)/12*1</f>
        <v>2137</v>
      </c>
      <c r="AR10" s="15">
        <f>(174743-45101-78942-20000)/12*12</f>
        <v>30700</v>
      </c>
      <c r="AS10" s="15">
        <f>(174743-45101-78942-20000)/12*11</f>
        <v>28141.666666666668</v>
      </c>
      <c r="AT10" s="15">
        <f>(174743-45101-78942-20000)/12*10</f>
        <v>25583.333333333336</v>
      </c>
      <c r="AU10" s="15">
        <f>(174743-45101-78942-20000)/12*9</f>
        <v>23025</v>
      </c>
      <c r="AV10" s="15">
        <f>(174743-45101-78942-20000)/12*8</f>
        <v>20466.666666666668</v>
      </c>
      <c r="AW10" s="1">
        <f>(174743-45101-78942-20000)/12*7</f>
        <v>17908.333333333336</v>
      </c>
      <c r="AX10" s="1">
        <f>(174743-45101-78942-20000)/12*6</f>
        <v>15350</v>
      </c>
      <c r="AY10" s="1">
        <f>(174743-45101-78942-20000)/12*5</f>
        <v>12791.666666666668</v>
      </c>
      <c r="AZ10" s="1">
        <f>(174743-45101-78942-20000)/12*4</f>
        <v>10233.333333333334</v>
      </c>
      <c r="BA10" s="1">
        <f>(174743-45101-78942-20000)/12*3</f>
        <v>7675</v>
      </c>
      <c r="BB10" s="1">
        <f>(174743-45101-78942-20000)/12*2</f>
        <v>5116.666666666667</v>
      </c>
      <c r="BC10" s="1">
        <f>(174743-45101-78942-20000)/12</f>
        <v>2558.3333333333335</v>
      </c>
      <c r="BD10" s="1">
        <f>(58217-18000)/12*11</f>
        <v>36865.583333333328</v>
      </c>
      <c r="BE10" s="1">
        <f>(58217-18000)/12*10</f>
        <v>33514.166666666664</v>
      </c>
      <c r="BF10" s="1">
        <f>(58217-18000)/12*9</f>
        <v>30162.75</v>
      </c>
      <c r="BG10" s="1">
        <f>(58217-18000)/12*8</f>
        <v>26811.333333333332</v>
      </c>
      <c r="BH10" s="1">
        <f>(58217-18000)/12*7</f>
        <v>23459.916666666664</v>
      </c>
      <c r="BI10" s="1">
        <f>(58217-18000)/12*6</f>
        <v>20108.5</v>
      </c>
      <c r="BJ10" s="1">
        <f>(58217-18000)/12*5</f>
        <v>16757.083333333332</v>
      </c>
      <c r="BK10" s="1">
        <f>(58217-18000)/12*4</f>
        <v>13405.666666666666</v>
      </c>
      <c r="BL10" s="1">
        <f>(58217-18000)/12*3</f>
        <v>10054.25</v>
      </c>
      <c r="BM10" s="1">
        <f>(58217-18000)/12*2</f>
        <v>6702.833333333333</v>
      </c>
      <c r="BN10" s="1">
        <f>(58217-18000)/12</f>
        <v>3351.4166666666665</v>
      </c>
    </row>
    <row r="11" spans="1:83">
      <c r="D11" t="s">
        <v>29</v>
      </c>
      <c r="E11" s="7">
        <f t="shared" ref="E11" si="3">+E9-E10</f>
        <v>2144.0099999999948</v>
      </c>
      <c r="F11" s="7">
        <f t="shared" ref="F11:G11" si="4">+F9-F10</f>
        <v>-29.53333333333012</v>
      </c>
      <c r="G11" s="7">
        <f t="shared" si="4"/>
        <v>-310.93666666667059</v>
      </c>
      <c r="H11" s="7">
        <f t="shared" ref="H11:BN11" si="5">+H9-H10</f>
        <v>8917.86</v>
      </c>
      <c r="I11" s="7">
        <f t="shared" si="5"/>
        <v>7655.5566666666673</v>
      </c>
      <c r="J11" s="7">
        <f t="shared" si="5"/>
        <v>7795.0633333333317</v>
      </c>
      <c r="K11" s="7">
        <f t="shared" si="5"/>
        <v>4085.5</v>
      </c>
      <c r="L11" s="7">
        <f t="shared" si="5"/>
        <v>738.5566666666673</v>
      </c>
      <c r="M11" s="7">
        <f t="shared" si="5"/>
        <v>-1999.3066666666655</v>
      </c>
      <c r="N11" s="7">
        <f t="shared" si="5"/>
        <v>-2123.2799999999988</v>
      </c>
      <c r="O11" s="7">
        <f t="shared" si="5"/>
        <v>-1611.043333333324</v>
      </c>
      <c r="P11" s="7">
        <f t="shared" si="5"/>
        <v>-1377.5766666666696</v>
      </c>
      <c r="Q11" s="7">
        <f t="shared" si="5"/>
        <v>-837.05999999999767</v>
      </c>
      <c r="R11" s="7">
        <f t="shared" si="5"/>
        <v>-493.42333333332954</v>
      </c>
      <c r="S11" s="7">
        <f t="shared" si="5"/>
        <v>828.43333333333931</v>
      </c>
      <c r="T11" s="7">
        <f t="shared" si="5"/>
        <v>-6076.7799999999843</v>
      </c>
      <c r="U11" s="7">
        <f t="shared" si="5"/>
        <v>-4743.7233333333315</v>
      </c>
      <c r="V11" s="7">
        <f t="shared" si="5"/>
        <v>-4310.1966666666485</v>
      </c>
      <c r="W11" s="7">
        <f t="shared" si="5"/>
        <v>-3782.3300000000017</v>
      </c>
      <c r="X11" s="7">
        <f t="shared" si="5"/>
        <v>-3194.4333333333234</v>
      </c>
      <c r="Y11" s="7">
        <f t="shared" si="5"/>
        <v>-2824.8566666666684</v>
      </c>
      <c r="Z11" s="7">
        <f t="shared" si="5"/>
        <v>-2084.0299999999988</v>
      </c>
      <c r="AA11" s="7">
        <f t="shared" si="5"/>
        <v>-1532.0733333333374</v>
      </c>
      <c r="AB11" s="7">
        <f t="shared" si="5"/>
        <v>-394.35666666666839</v>
      </c>
      <c r="AC11" s="7">
        <f t="shared" si="5"/>
        <v>-144.92999999999302</v>
      </c>
      <c r="AD11" s="7">
        <f t="shared" si="5"/>
        <v>149.16666666666697</v>
      </c>
      <c r="AE11" s="7">
        <f t="shared" si="5"/>
        <v>-249.91666666666652</v>
      </c>
      <c r="AF11" s="7">
        <f t="shared" si="5"/>
        <v>1650.5799999999872</v>
      </c>
      <c r="AG11" s="7">
        <f t="shared" si="5"/>
        <v>2186.3099999999977</v>
      </c>
      <c r="AH11" s="7">
        <f t="shared" si="5"/>
        <v>2757.7099999999919</v>
      </c>
      <c r="AI11" s="7">
        <f t="shared" si="5"/>
        <v>1371.3999999999942</v>
      </c>
      <c r="AJ11" s="7">
        <f t="shared" si="5"/>
        <v>-102.64000000001397</v>
      </c>
      <c r="AK11" s="7">
        <f t="shared" si="5"/>
        <v>438.17999999999302</v>
      </c>
      <c r="AL11" s="7">
        <f t="shared" si="5"/>
        <v>622.76999999998952</v>
      </c>
      <c r="AM11" s="7">
        <f t="shared" si="5"/>
        <v>1416.7799999999988</v>
      </c>
      <c r="AN11" s="7">
        <f t="shared" si="5"/>
        <v>461.44999999999709</v>
      </c>
      <c r="AO11" s="7">
        <f t="shared" si="5"/>
        <v>79.070000000006985</v>
      </c>
      <c r="AP11" s="7">
        <f t="shared" si="5"/>
        <v>-56.330000000001746</v>
      </c>
      <c r="AQ11" s="7">
        <f t="shared" si="5"/>
        <v>637.62000000000262</v>
      </c>
      <c r="AR11" s="7">
        <f t="shared" si="5"/>
        <v>772.04000000000087</v>
      </c>
      <c r="AS11" s="7">
        <f t="shared" si="5"/>
        <v>2169.4733333333315</v>
      </c>
      <c r="AT11" s="7">
        <f t="shared" si="5"/>
        <v>2974.0366666666632</v>
      </c>
      <c r="AU11" s="7">
        <f t="shared" si="5"/>
        <v>4078.5600000000013</v>
      </c>
      <c r="AV11" s="7">
        <f t="shared" si="5"/>
        <v>4163.1333333333314</v>
      </c>
      <c r="AW11" s="7">
        <f t="shared" si="5"/>
        <v>5096.7166666666672</v>
      </c>
      <c r="AX11" s="7">
        <f t="shared" si="5"/>
        <v>5572.1100000000006</v>
      </c>
      <c r="AY11" s="7">
        <f t="shared" si="5"/>
        <v>4537.0433333333385</v>
      </c>
      <c r="AZ11" s="7">
        <f t="shared" si="5"/>
        <v>5214.4966666666605</v>
      </c>
      <c r="BA11" s="7">
        <f t="shared" si="5"/>
        <v>5795.2799999999988</v>
      </c>
      <c r="BB11" s="7">
        <f t="shared" si="5"/>
        <v>3265.7533333333386</v>
      </c>
      <c r="BC11" s="7">
        <f t="shared" si="5"/>
        <v>3030.5166666666651</v>
      </c>
      <c r="BD11" s="7">
        <f t="shared" si="5"/>
        <v>3975.2666666666773</v>
      </c>
      <c r="BE11" s="7">
        <f t="shared" si="5"/>
        <v>593.93333333334158</v>
      </c>
      <c r="BF11" s="7">
        <f t="shared" si="5"/>
        <v>-6790.320000000007</v>
      </c>
      <c r="BG11" s="7">
        <f t="shared" si="5"/>
        <v>-5462.6533333333391</v>
      </c>
      <c r="BH11" s="7">
        <f t="shared" si="5"/>
        <v>-3953.9166666666642</v>
      </c>
      <c r="BI11" s="7">
        <f t="shared" si="5"/>
        <v>-2083.2600000000093</v>
      </c>
      <c r="BJ11" s="7">
        <f t="shared" si="5"/>
        <v>-1282.0033333333449</v>
      </c>
      <c r="BK11" s="7">
        <f t="shared" si="5"/>
        <v>961.24333333333743</v>
      </c>
      <c r="BL11" s="7">
        <f t="shared" si="5"/>
        <v>1101.3700000000099</v>
      </c>
      <c r="BM11" s="7">
        <f t="shared" si="5"/>
        <v>217.45666666667512</v>
      </c>
      <c r="BN11" s="7">
        <f t="shared" si="5"/>
        <v>2183.8233333333387</v>
      </c>
    </row>
    <row r="12" spans="1:83"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83">
      <c r="A13" s="25" t="s">
        <v>30</v>
      </c>
      <c r="D13" t="s">
        <v>31</v>
      </c>
      <c r="E13" s="22">
        <f>35416.66-20.12</f>
        <v>35396.54</v>
      </c>
      <c r="F13" s="22">
        <f>22229.83-0</f>
        <v>22229.83</v>
      </c>
      <c r="G13" s="22">
        <f>12564.2-0</f>
        <v>12564.2</v>
      </c>
      <c r="H13" s="22">
        <f>123238.69-1297.46</f>
        <v>121941.23</v>
      </c>
      <c r="I13" s="22">
        <f>111121.5-978.17</f>
        <v>110143.33</v>
      </c>
      <c r="J13" s="22">
        <f>100976.77-959.48</f>
        <v>100017.29000000001</v>
      </c>
      <c r="K13" s="22">
        <f>90910.31-936.27</f>
        <v>89974.04</v>
      </c>
      <c r="L13" s="22">
        <f>78947.58-936.27</f>
        <v>78011.31</v>
      </c>
      <c r="M13" s="22">
        <f>70294.56-936.27</f>
        <v>69358.289999999994</v>
      </c>
      <c r="N13" s="14">
        <f>(58593.37-936.27)</f>
        <v>57657.100000000006</v>
      </c>
      <c r="O13" s="14">
        <f>(48997.75-873.18)</f>
        <v>48124.57</v>
      </c>
      <c r="P13" s="14">
        <f>(40021.33-869.18)</f>
        <v>39152.15</v>
      </c>
      <c r="Q13" s="14">
        <f>(30611.09-697.96)</f>
        <v>29913.13</v>
      </c>
      <c r="R13" s="14">
        <f>(20217.68-697.96)</f>
        <v>19519.72</v>
      </c>
      <c r="S13" s="14">
        <f>(11012.82-697.96)</f>
        <v>10314.86</v>
      </c>
      <c r="T13" s="14">
        <f>(150305.91-28054.87)</f>
        <v>122251.04000000001</v>
      </c>
      <c r="U13" s="14">
        <f>(138221.17-28054.87)</f>
        <v>110166.30000000002</v>
      </c>
      <c r="V13" s="14">
        <f>(128034.77-28054.87)</f>
        <v>99979.900000000009</v>
      </c>
      <c r="W13" s="14">
        <f>(118919.15-28054.87)</f>
        <v>90864.28</v>
      </c>
      <c r="X13" s="14">
        <f>(108842.82-28054.87)</f>
        <v>80787.950000000012</v>
      </c>
      <c r="Y13" s="14">
        <f>(99979.98-28054.87)</f>
        <v>71925.11</v>
      </c>
      <c r="Z13" s="14">
        <f>(86616.98-28054.87)</f>
        <v>58562.11</v>
      </c>
      <c r="AA13" s="14">
        <f>(77238.59-27981.04)</f>
        <v>49257.549999999996</v>
      </c>
      <c r="AB13" s="14">
        <f>(51279.97-11709.7)</f>
        <v>39570.270000000004</v>
      </c>
      <c r="AC13" s="14">
        <f>(30585.44-1135.78)</f>
        <v>29449.66</v>
      </c>
      <c r="AD13" s="14">
        <f>(21028.39-150)</f>
        <v>20878.39</v>
      </c>
      <c r="AE13" s="14">
        <v>11098.15</v>
      </c>
      <c r="AF13" s="14">
        <f>(135067.49-23755.84)</f>
        <v>111311.65</v>
      </c>
      <c r="AG13" s="14">
        <f>(125182.71-23755.84)</f>
        <v>101426.87000000001</v>
      </c>
      <c r="AH13" s="14">
        <f>(116596.59-23755.84)</f>
        <v>92840.75</v>
      </c>
      <c r="AI13" s="14">
        <f>(106649.09-23755.84)</f>
        <v>82893.25</v>
      </c>
      <c r="AJ13" s="14">
        <f>(96846.84-23755.84)</f>
        <v>73091</v>
      </c>
      <c r="AK13" s="14">
        <f>(88425.34-23755.84)</f>
        <v>64669.5</v>
      </c>
      <c r="AL13" s="14">
        <f>(77233.86-23755.84)</f>
        <v>53478.020000000004</v>
      </c>
      <c r="AM13" s="14">
        <f>(53834.91-8057.02)</f>
        <v>45777.89</v>
      </c>
      <c r="AN13" s="14">
        <f>(44391.49-7344.94)</f>
        <v>37046.549999999996</v>
      </c>
      <c r="AO13" s="14">
        <f>(27338.65-1526.32)</f>
        <v>25812.33</v>
      </c>
      <c r="AP13" s="14">
        <f>(19258.71-1288.57)</f>
        <v>17970.14</v>
      </c>
      <c r="AQ13" s="14">
        <f>(10649.99-506.65)</f>
        <v>10143.34</v>
      </c>
      <c r="AR13" s="9">
        <v>115540.4</v>
      </c>
      <c r="AS13" s="9">
        <v>104659.05</v>
      </c>
      <c r="AT13" s="9">
        <v>95877.11</v>
      </c>
      <c r="AU13" s="9">
        <v>86530.68</v>
      </c>
      <c r="AV13" s="9">
        <v>78335.34</v>
      </c>
      <c r="AW13" s="1">
        <f>98543.87-28573.11</f>
        <v>69970.759999999995</v>
      </c>
      <c r="AX13" s="1">
        <f>68115.97-9005.62</f>
        <v>59110.35</v>
      </c>
      <c r="AY13" s="1">
        <f>51337.23-2013.16</f>
        <v>49324.07</v>
      </c>
      <c r="AZ13" s="1">
        <f>41173.06-1105.92</f>
        <v>40067.14</v>
      </c>
      <c r="BA13" s="1">
        <f>31849.6-797.94</f>
        <v>31051.66</v>
      </c>
      <c r="BB13" s="1">
        <f>21770.23-197.94</f>
        <v>21572.29</v>
      </c>
      <c r="BC13" s="1">
        <f>13700.23-197.94</f>
        <v>13502.289999999999</v>
      </c>
      <c r="BD13" s="1">
        <f>141771.38-37905.51</f>
        <v>103865.87</v>
      </c>
      <c r="BE13" s="1">
        <f>131940.21-37617.8</f>
        <v>94322.409999999989</v>
      </c>
      <c r="BF13" s="1">
        <f>123167.82-36987</f>
        <v>86180.82</v>
      </c>
      <c r="BG13" s="1">
        <f>115581.16-36987</f>
        <v>78594.16</v>
      </c>
      <c r="BH13" s="1">
        <f>100991.76-36987</f>
        <v>64004.759999999995</v>
      </c>
      <c r="BI13" s="1">
        <f>89873.8-35301.79</f>
        <v>54572.01</v>
      </c>
      <c r="BJ13" s="1">
        <f>57686.79-10566.83</f>
        <v>47119.96</v>
      </c>
      <c r="BK13" s="1">
        <f>46573.23-7698.84</f>
        <v>38874.39</v>
      </c>
      <c r="BL13" s="1">
        <f>35702.89-6835.98</f>
        <v>28866.91</v>
      </c>
      <c r="BM13" s="1">
        <f>15509.91-392.48</f>
        <v>15117.43</v>
      </c>
      <c r="BN13" s="1">
        <f>9727.03-198.3</f>
        <v>9528.7300000000014</v>
      </c>
      <c r="BO13" s="1">
        <f>165283.61-55089.91</f>
        <v>110193.69999999998</v>
      </c>
      <c r="BP13" s="1">
        <f>154985.88-55089.91</f>
        <v>99895.97</v>
      </c>
      <c r="BQ13" s="1">
        <f>147908.73-55089.91</f>
        <v>92818.82</v>
      </c>
      <c r="BR13" s="1">
        <f>137385.94-53318.11</f>
        <v>84067.83</v>
      </c>
      <c r="BS13" s="1">
        <f>129017.7-53318.11</f>
        <v>75699.59</v>
      </c>
      <c r="BT13" s="1">
        <f>120422.8-53318.11</f>
        <v>67104.69</v>
      </c>
      <c r="BU13" s="1">
        <f>110494.93-53318.11</f>
        <v>57176.819999999992</v>
      </c>
      <c r="BV13" s="1">
        <f>102406.75-52731.61</f>
        <v>49675.14</v>
      </c>
      <c r="BW13" s="1">
        <f>56305.75-17474.25</f>
        <v>38831.5</v>
      </c>
      <c r="BX13" s="1">
        <f>29627.71-1697.38</f>
        <v>27930.329999999998</v>
      </c>
      <c r="BY13" s="1">
        <f>19782.49-632.98</f>
        <v>19149.510000000002</v>
      </c>
      <c r="BZ13" s="1">
        <f>9721.86-132.98</f>
        <v>9588.880000000001</v>
      </c>
    </row>
    <row r="14" spans="1:83">
      <c r="A14" s="25" t="s">
        <v>27</v>
      </c>
      <c r="D14" t="s">
        <v>32</v>
      </c>
      <c r="E14" s="14">
        <f>+(165347-31090)/12*3</f>
        <v>33564.25</v>
      </c>
      <c r="F14" s="14">
        <f>+(165347-31090)/12*2</f>
        <v>22376.166666666668</v>
      </c>
      <c r="G14" s="14">
        <f>+(165347-31090)/12*1</f>
        <v>11188.083333333334</v>
      </c>
      <c r="H14" s="14">
        <f>+(165347-31090)/12*12</f>
        <v>134257</v>
      </c>
      <c r="I14" s="14">
        <f>+(165347-31090)/12*11</f>
        <v>123068.91666666667</v>
      </c>
      <c r="J14" s="14">
        <f>+(165347-31090)/12*10</f>
        <v>111880.83333333334</v>
      </c>
      <c r="K14" s="14">
        <f>+(165347-31090)/12*9</f>
        <v>100692.75</v>
      </c>
      <c r="L14" s="14">
        <f>+(165347-31090)/12*8</f>
        <v>89504.666666666672</v>
      </c>
      <c r="M14" s="14">
        <f>+(165347-31090)/12*7</f>
        <v>78316.583333333343</v>
      </c>
      <c r="N14" s="14">
        <f>+(165347-31090)/12*6</f>
        <v>67128.5</v>
      </c>
      <c r="O14" s="14">
        <f>+(165347-31090)/12*5</f>
        <v>55940.416666666672</v>
      </c>
      <c r="P14" s="14">
        <f>+(165347-31090)/12*4</f>
        <v>44752.333333333336</v>
      </c>
      <c r="Q14" s="14">
        <f>+(165347-31090)/12*3</f>
        <v>33564.25</v>
      </c>
      <c r="R14" s="14">
        <f>+(165347-31090)/12*2</f>
        <v>22376.166666666668</v>
      </c>
      <c r="S14" s="14">
        <f>+(165347-31090)/12*1</f>
        <v>11188.083333333334</v>
      </c>
      <c r="T14" s="14">
        <f>+(173675-38900)/12*12</f>
        <v>134775</v>
      </c>
      <c r="U14" s="14">
        <f>+(173675-38900)/12*11</f>
        <v>123543.75</v>
      </c>
      <c r="V14" s="14">
        <f>+(173675-38900)/12*10</f>
        <v>112312.5</v>
      </c>
      <c r="W14" s="14">
        <f>+(173675-38900)/12*9</f>
        <v>101081.25</v>
      </c>
      <c r="X14" s="14">
        <f>+(173675-38900)/12*8</f>
        <v>89850</v>
      </c>
      <c r="Y14" s="14">
        <f>+(173675-38900)/12*7</f>
        <v>78618.75</v>
      </c>
      <c r="Z14" s="14">
        <f>+(173675-38900)/12*6</f>
        <v>67387.5</v>
      </c>
      <c r="AA14" s="14">
        <f>+(173675-38900)/12*5</f>
        <v>56156.25</v>
      </c>
      <c r="AB14" s="14">
        <f>+(173675-38900)/12*4</f>
        <v>44925</v>
      </c>
      <c r="AC14" s="14">
        <f>+(173675-38900)/12*3</f>
        <v>33693.75</v>
      </c>
      <c r="AD14" s="14">
        <f>+(173675-38900)/12*2</f>
        <v>22462.5</v>
      </c>
      <c r="AE14" s="14">
        <f>+(173675-38900)/12*1</f>
        <v>11231.25</v>
      </c>
      <c r="AF14" s="14">
        <f>+(158897-34415)/12*12</f>
        <v>124482</v>
      </c>
      <c r="AG14" s="14">
        <f>+(158897-34415)/12*11</f>
        <v>114108.5</v>
      </c>
      <c r="AH14" s="14">
        <f>+(158897-34415)/12*10</f>
        <v>103735</v>
      </c>
      <c r="AI14" s="14">
        <f>+(158897-34415)/12*9</f>
        <v>93361.5</v>
      </c>
      <c r="AJ14" s="14">
        <f>+(158897-34415)/12*8</f>
        <v>82988</v>
      </c>
      <c r="AK14" s="14">
        <f>+(158897-34415)/12*7</f>
        <v>72614.5</v>
      </c>
      <c r="AL14" s="14">
        <f>+(158897-34415)/12*6</f>
        <v>62241</v>
      </c>
      <c r="AM14" s="14">
        <f>+(158897-34415)/12*5</f>
        <v>51867.5</v>
      </c>
      <c r="AN14" s="14">
        <f>+(158897-34415)/12*4</f>
        <v>41494</v>
      </c>
      <c r="AO14" s="14">
        <f>+(158897-34415)/12*3</f>
        <v>31120.5</v>
      </c>
      <c r="AP14" s="14">
        <f>+(158897-34415)/12*2</f>
        <v>20747</v>
      </c>
      <c r="AQ14" s="14">
        <f>+(158897-34415)/12</f>
        <v>10373.5</v>
      </c>
      <c r="AR14" s="1">
        <f>+(169577-41565)/12*12</f>
        <v>128012</v>
      </c>
      <c r="AS14" s="1">
        <f>+(169577-41565)/12*11</f>
        <v>117344.33333333333</v>
      </c>
      <c r="AT14" s="1">
        <f>+(169577-41565)/12*10</f>
        <v>106676.66666666666</v>
      </c>
      <c r="AU14" s="1">
        <f>+(169577-41565)/12*9</f>
        <v>96009</v>
      </c>
      <c r="AV14" s="1">
        <f>+(169577-41565)/12*8</f>
        <v>85341.333333333328</v>
      </c>
      <c r="AW14" s="1">
        <f>+(169577-41565)/12*7</f>
        <v>74673.666666666657</v>
      </c>
      <c r="AX14" s="1">
        <f>+(169577-41565)/12*6</f>
        <v>64006</v>
      </c>
      <c r="AY14" s="1">
        <f>+(169577-41565)/12*5</f>
        <v>53338.333333333328</v>
      </c>
      <c r="AZ14" s="1">
        <f>+(169577-41565)/12*4</f>
        <v>42670.666666666664</v>
      </c>
      <c r="BA14" s="1">
        <f>+(169577-41565)/12*3</f>
        <v>32003</v>
      </c>
      <c r="BB14" s="1">
        <f>+(169577-41565)/12*2</f>
        <v>21335.333333333332</v>
      </c>
      <c r="BC14" s="1">
        <f>+(169577-41565)/12</f>
        <v>10667.666666666666</v>
      </c>
      <c r="BD14" s="1">
        <f>+(171526-40275)/12*11</f>
        <v>120313.41666666667</v>
      </c>
      <c r="BE14" s="1">
        <f>+(171526-40275)/12*10</f>
        <v>109375.83333333334</v>
      </c>
      <c r="BF14" s="1">
        <f>+(171526-40275)/12*9</f>
        <v>98438.25</v>
      </c>
      <c r="BG14" s="1">
        <f>+(171526-40275)/12*8</f>
        <v>87500.666666666672</v>
      </c>
      <c r="BH14" s="1">
        <f>+(171526-40275)/12*7</f>
        <v>76563.083333333343</v>
      </c>
      <c r="BI14" s="1">
        <f>+(171526-40275)/12*6</f>
        <v>65625.5</v>
      </c>
      <c r="BJ14" s="1">
        <f>+(171526-40275)/12*5</f>
        <v>54687.916666666672</v>
      </c>
      <c r="BK14" s="1">
        <f>+(171526-40275)/12*4</f>
        <v>43750.333333333336</v>
      </c>
      <c r="BL14" s="1">
        <f>+(171526-40275)/12*3</f>
        <v>32812.75</v>
      </c>
      <c r="BM14" s="1">
        <f>+(171526-40275)/12*2</f>
        <v>21875.166666666668</v>
      </c>
      <c r="BN14" s="1">
        <f>+(171526-40275)/12</f>
        <v>10937.583333333334</v>
      </c>
      <c r="BO14" s="1">
        <f>131660/12*12</f>
        <v>131660</v>
      </c>
      <c r="BP14" s="1">
        <f>131660/12*11</f>
        <v>120688.33333333333</v>
      </c>
      <c r="BQ14" s="1">
        <f>131660/12*10</f>
        <v>109716.66666666666</v>
      </c>
      <c r="BR14" s="1">
        <f>131660/12*9</f>
        <v>98745</v>
      </c>
      <c r="BS14" s="1">
        <f>131660/12*8</f>
        <v>87773.333333333328</v>
      </c>
      <c r="BT14" s="1">
        <f>131660/12*7</f>
        <v>76801.666666666657</v>
      </c>
      <c r="BU14" s="1">
        <f>131660/12*6</f>
        <v>65830</v>
      </c>
      <c r="BV14" s="1">
        <f>131660/12*5</f>
        <v>54858.333333333328</v>
      </c>
      <c r="BW14" s="1">
        <f>131660/12*4</f>
        <v>43886.666666666664</v>
      </c>
      <c r="BX14" s="1">
        <f>131660/12*3</f>
        <v>32915</v>
      </c>
      <c r="BY14" s="1">
        <f>131660/12*2</f>
        <v>21943.333333333332</v>
      </c>
      <c r="BZ14" s="1">
        <f>131660/12</f>
        <v>10971.666666666666</v>
      </c>
    </row>
    <row r="15" spans="1:83">
      <c r="D15" t="s">
        <v>33</v>
      </c>
      <c r="E15" s="7">
        <f t="shared" ref="E15" si="6">+E14-E13</f>
        <v>-1832.2900000000009</v>
      </c>
      <c r="F15" s="7">
        <f t="shared" ref="F15:G15" si="7">+F14-F13</f>
        <v>146.33666666666613</v>
      </c>
      <c r="G15" s="7">
        <f t="shared" si="7"/>
        <v>-1376.1166666666668</v>
      </c>
      <c r="H15" s="7">
        <f t="shared" ref="H15:BS15" si="8">+H14-H13</f>
        <v>12315.770000000004</v>
      </c>
      <c r="I15" s="7">
        <f t="shared" si="8"/>
        <v>12925.58666666667</v>
      </c>
      <c r="J15" s="7">
        <f t="shared" si="8"/>
        <v>11863.543333333335</v>
      </c>
      <c r="K15" s="7">
        <f t="shared" si="8"/>
        <v>10718.710000000006</v>
      </c>
      <c r="L15" s="7">
        <f t="shared" si="8"/>
        <v>11493.356666666674</v>
      </c>
      <c r="M15" s="7">
        <f t="shared" si="8"/>
        <v>8958.2933333333494</v>
      </c>
      <c r="N15" s="7">
        <f t="shared" si="8"/>
        <v>9471.3999999999942</v>
      </c>
      <c r="O15" s="7">
        <f t="shared" si="8"/>
        <v>7815.8466666666718</v>
      </c>
      <c r="P15" s="7">
        <f t="shared" si="8"/>
        <v>5600.1833333333343</v>
      </c>
      <c r="Q15" s="7">
        <f t="shared" si="8"/>
        <v>3651.119999999999</v>
      </c>
      <c r="R15" s="7">
        <f t="shared" si="8"/>
        <v>2856.4466666666667</v>
      </c>
      <c r="S15" s="7">
        <f t="shared" si="8"/>
        <v>873.22333333333336</v>
      </c>
      <c r="T15" s="7">
        <f t="shared" si="8"/>
        <v>12523.959999999992</v>
      </c>
      <c r="U15" s="7">
        <f t="shared" si="8"/>
        <v>13377.449999999983</v>
      </c>
      <c r="V15" s="7">
        <f t="shared" si="8"/>
        <v>12332.599999999991</v>
      </c>
      <c r="W15" s="7">
        <f t="shared" si="8"/>
        <v>10216.970000000001</v>
      </c>
      <c r="X15" s="7">
        <f t="shared" si="8"/>
        <v>9062.0499999999884</v>
      </c>
      <c r="Y15" s="7">
        <f t="shared" si="8"/>
        <v>6693.6399999999994</v>
      </c>
      <c r="Z15" s="7">
        <f t="shared" si="8"/>
        <v>8825.39</v>
      </c>
      <c r="AA15" s="7">
        <f t="shared" si="8"/>
        <v>6898.7000000000044</v>
      </c>
      <c r="AB15" s="7">
        <f t="shared" si="8"/>
        <v>5354.7299999999959</v>
      </c>
      <c r="AC15" s="7">
        <f t="shared" si="8"/>
        <v>4244.09</v>
      </c>
      <c r="AD15" s="7">
        <f t="shared" si="8"/>
        <v>1584.1100000000006</v>
      </c>
      <c r="AE15" s="7">
        <f t="shared" si="8"/>
        <v>133.10000000000036</v>
      </c>
      <c r="AF15" s="7">
        <f t="shared" si="8"/>
        <v>13170.350000000006</v>
      </c>
      <c r="AG15" s="7">
        <f t="shared" si="8"/>
        <v>12681.62999999999</v>
      </c>
      <c r="AH15" s="7">
        <f t="shared" si="8"/>
        <v>10894.25</v>
      </c>
      <c r="AI15" s="7">
        <f t="shared" si="8"/>
        <v>10468.25</v>
      </c>
      <c r="AJ15" s="7">
        <f t="shared" si="8"/>
        <v>9897</v>
      </c>
      <c r="AK15" s="7">
        <f t="shared" si="8"/>
        <v>7945</v>
      </c>
      <c r="AL15" s="7">
        <f t="shared" si="8"/>
        <v>8762.9799999999959</v>
      </c>
      <c r="AM15" s="7">
        <f t="shared" si="8"/>
        <v>6089.6100000000006</v>
      </c>
      <c r="AN15" s="7">
        <f t="shared" si="8"/>
        <v>4447.4500000000044</v>
      </c>
      <c r="AO15" s="7">
        <f t="shared" si="8"/>
        <v>5308.1699999999983</v>
      </c>
      <c r="AP15" s="7">
        <f t="shared" si="8"/>
        <v>2776.8600000000006</v>
      </c>
      <c r="AQ15" s="7">
        <f t="shared" si="8"/>
        <v>230.15999999999985</v>
      </c>
      <c r="AR15" s="7">
        <f t="shared" si="8"/>
        <v>12471.600000000006</v>
      </c>
      <c r="AS15" s="7">
        <f t="shared" si="8"/>
        <v>12685.283333333326</v>
      </c>
      <c r="AT15" s="7">
        <f t="shared" si="8"/>
        <v>10799.556666666656</v>
      </c>
      <c r="AU15" s="7">
        <f t="shared" si="8"/>
        <v>9478.320000000007</v>
      </c>
      <c r="AV15" s="7">
        <f t="shared" si="8"/>
        <v>7005.993333333332</v>
      </c>
      <c r="AW15" s="7">
        <f t="shared" si="8"/>
        <v>4702.9066666666622</v>
      </c>
      <c r="AX15" s="7">
        <f t="shared" si="8"/>
        <v>4895.6500000000015</v>
      </c>
      <c r="AY15" s="7">
        <f t="shared" si="8"/>
        <v>4014.2633333333288</v>
      </c>
      <c r="AZ15" s="7">
        <f t="shared" si="8"/>
        <v>2603.5266666666648</v>
      </c>
      <c r="BA15" s="7">
        <f t="shared" si="8"/>
        <v>951.34000000000015</v>
      </c>
      <c r="BB15" s="7">
        <f t="shared" si="8"/>
        <v>-236.95666666666875</v>
      </c>
      <c r="BC15" s="7">
        <f t="shared" si="8"/>
        <v>-2834.623333333333</v>
      </c>
      <c r="BD15" s="7">
        <f t="shared" si="8"/>
        <v>16447.546666666676</v>
      </c>
      <c r="BE15" s="7">
        <f t="shared" si="8"/>
        <v>15053.423333333354</v>
      </c>
      <c r="BF15" s="7">
        <f t="shared" si="8"/>
        <v>12257.429999999993</v>
      </c>
      <c r="BG15" s="7">
        <f t="shared" si="8"/>
        <v>8906.506666666668</v>
      </c>
      <c r="BH15" s="7">
        <f t="shared" si="8"/>
        <v>12558.323333333348</v>
      </c>
      <c r="BI15" s="7">
        <f t="shared" si="8"/>
        <v>11053.489999999998</v>
      </c>
      <c r="BJ15" s="7">
        <f t="shared" si="8"/>
        <v>7567.9566666666724</v>
      </c>
      <c r="BK15" s="7">
        <f t="shared" si="8"/>
        <v>4875.9433333333363</v>
      </c>
      <c r="BL15" s="7">
        <f t="shared" si="8"/>
        <v>3945.84</v>
      </c>
      <c r="BM15" s="7">
        <f t="shared" si="8"/>
        <v>6757.7366666666676</v>
      </c>
      <c r="BN15" s="7">
        <f t="shared" si="8"/>
        <v>1408.8533333333326</v>
      </c>
      <c r="BO15" s="7">
        <f t="shared" si="8"/>
        <v>21466.300000000017</v>
      </c>
      <c r="BP15" s="7">
        <f t="shared" si="8"/>
        <v>20792.363333333327</v>
      </c>
      <c r="BQ15" s="7">
        <f t="shared" si="8"/>
        <v>16897.84666666665</v>
      </c>
      <c r="BR15" s="7">
        <f t="shared" si="8"/>
        <v>14677.169999999998</v>
      </c>
      <c r="BS15" s="7">
        <f t="shared" si="8"/>
        <v>12073.743333333332</v>
      </c>
      <c r="BT15" s="7">
        <f t="shared" ref="BT15:DZ15" si="9">+BT14-BT13</f>
        <v>9696.9766666666546</v>
      </c>
      <c r="BU15" s="7">
        <f t="shared" si="9"/>
        <v>8653.1800000000076</v>
      </c>
      <c r="BV15" s="7">
        <f t="shared" si="9"/>
        <v>5183.1933333333291</v>
      </c>
      <c r="BW15" s="7">
        <f t="shared" si="9"/>
        <v>5055.1666666666642</v>
      </c>
      <c r="BX15" s="7">
        <f t="shared" si="9"/>
        <v>4984.6700000000019</v>
      </c>
      <c r="BY15" s="7">
        <f t="shared" si="9"/>
        <v>2793.8233333333301</v>
      </c>
      <c r="BZ15" s="7">
        <f t="shared" si="9"/>
        <v>1382.786666666665</v>
      </c>
    </row>
    <row r="16" spans="1:83"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</row>
    <row r="17" spans="1:78">
      <c r="A17" t="s">
        <v>34</v>
      </c>
      <c r="D17" t="s">
        <v>35</v>
      </c>
      <c r="E17" s="8">
        <f>+E15+E7+E11</f>
        <v>-7752.2800000000061</v>
      </c>
      <c r="F17" s="8">
        <f>+F15+F7+F11</f>
        <v>-8619.1966666666631</v>
      </c>
      <c r="G17" s="8">
        <f>+G15+G7+G11</f>
        <v>-10903.053333333337</v>
      </c>
      <c r="H17" s="8">
        <f>+H15+H7+H11</f>
        <v>16214.201428571429</v>
      </c>
      <c r="I17" s="8">
        <f>+I15+I7+I11</f>
        <v>15068.000476190478</v>
      </c>
      <c r="J17" s="8">
        <f t="shared" ref="J17:BN17" si="10">+J15+J7+J11</f>
        <v>13843.749523809525</v>
      </c>
      <c r="K17" s="8">
        <f t="shared" si="10"/>
        <v>8660.2100000000064</v>
      </c>
      <c r="L17" s="8">
        <f t="shared" si="10"/>
        <v>5978.1990476190585</v>
      </c>
      <c r="M17" s="8">
        <f t="shared" si="10"/>
        <v>897.27238095240136</v>
      </c>
      <c r="N17" s="8">
        <f t="shared" si="10"/>
        <v>1204.1199999999953</v>
      </c>
      <c r="O17" s="8">
        <f t="shared" si="10"/>
        <v>368.0033333333522</v>
      </c>
      <c r="P17" s="8">
        <f t="shared" si="10"/>
        <v>-1393.3933333333352</v>
      </c>
      <c r="Q17" s="8">
        <f t="shared" si="10"/>
        <v>-2305.9400000000023</v>
      </c>
      <c r="R17" s="8">
        <f t="shared" si="10"/>
        <v>-1956.9766666666628</v>
      </c>
      <c r="S17" s="8">
        <f t="shared" si="10"/>
        <v>-986.34333333332734</v>
      </c>
      <c r="T17" s="8">
        <f t="shared" si="10"/>
        <v>-1152.8199999999888</v>
      </c>
      <c r="U17" s="8">
        <f t="shared" si="10"/>
        <v>1302.8175757575591</v>
      </c>
      <c r="V17" s="8">
        <f t="shared" si="10"/>
        <v>1014.4033333333427</v>
      </c>
      <c r="W17" s="8">
        <f t="shared" si="10"/>
        <v>-242.6933333333327</v>
      </c>
      <c r="X17" s="8">
        <f t="shared" si="10"/>
        <v>-588.38333333333503</v>
      </c>
      <c r="Y17" s="8">
        <f t="shared" si="10"/>
        <v>-2494.6452380952451</v>
      </c>
      <c r="Z17" s="8">
        <f t="shared" si="10"/>
        <v>629.36000000000422</v>
      </c>
      <c r="AA17" s="8">
        <f t="shared" si="10"/>
        <v>-431.77333333333081</v>
      </c>
      <c r="AB17" s="8">
        <f t="shared" si="10"/>
        <v>-415.62666666667246</v>
      </c>
      <c r="AC17" s="8">
        <f t="shared" si="10"/>
        <v>-1020.8399999999965</v>
      </c>
      <c r="AD17" s="8">
        <f t="shared" si="10"/>
        <v>-3258.7233333333324</v>
      </c>
      <c r="AE17" s="8">
        <f t="shared" si="10"/>
        <v>-4532.8166666666657</v>
      </c>
      <c r="AF17" s="8">
        <f t="shared" si="10"/>
        <v>11684.929999999989</v>
      </c>
      <c r="AG17" s="8">
        <f t="shared" si="10"/>
        <v>11599.576363636354</v>
      </c>
      <c r="AH17" s="8">
        <f t="shared" si="10"/>
        <v>10191.159999999989</v>
      </c>
      <c r="AI17" s="8">
        <f t="shared" si="10"/>
        <v>8292.9833333333318</v>
      </c>
      <c r="AJ17" s="8">
        <f t="shared" si="10"/>
        <v>6203.359999999986</v>
      </c>
      <c r="AK17" s="8">
        <f t="shared" si="10"/>
        <v>4735.1799999999912</v>
      </c>
      <c r="AL17" s="8">
        <f t="shared" si="10"/>
        <v>5633.7499999999891</v>
      </c>
      <c r="AM17" s="8">
        <f t="shared" si="10"/>
        <v>3507.9899999999975</v>
      </c>
      <c r="AN17" s="8">
        <f t="shared" si="10"/>
        <v>750.90000000000146</v>
      </c>
      <c r="AO17" s="8">
        <f t="shared" si="10"/>
        <v>1411.2400000000021</v>
      </c>
      <c r="AP17" s="8">
        <f t="shared" si="10"/>
        <v>-723.47000000000116</v>
      </c>
      <c r="AQ17" s="8">
        <f t="shared" si="10"/>
        <v>-2156.2199999999975</v>
      </c>
      <c r="AR17" s="8">
        <f t="shared" si="10"/>
        <v>9155.6400000000103</v>
      </c>
      <c r="AS17" s="8">
        <f t="shared" si="10"/>
        <v>10807.483939393935</v>
      </c>
      <c r="AT17" s="8">
        <f t="shared" si="10"/>
        <v>9791.9933333333211</v>
      </c>
      <c r="AU17" s="8">
        <f t="shared" si="10"/>
        <v>9580.8800000000047</v>
      </c>
      <c r="AV17" s="8">
        <f t="shared" si="10"/>
        <v>7095.1266666666634</v>
      </c>
      <c r="AW17" s="8">
        <f t="shared" si="10"/>
        <v>5815.6233333333275</v>
      </c>
      <c r="AX17" s="8">
        <f t="shared" si="10"/>
        <v>6407.7599999999984</v>
      </c>
      <c r="AY17" s="8">
        <f t="shared" si="10"/>
        <v>4384.9066666666658</v>
      </c>
      <c r="AZ17" s="8">
        <f t="shared" si="10"/>
        <v>3660.0233333333254</v>
      </c>
      <c r="BA17" s="8">
        <f t="shared" si="10"/>
        <v>2602.6199999999953</v>
      </c>
      <c r="BB17" s="8">
        <f t="shared" si="10"/>
        <v>-1339.2033333333302</v>
      </c>
      <c r="BC17" s="8">
        <f t="shared" si="10"/>
        <v>-3836.1066666666679</v>
      </c>
      <c r="BD17" s="8">
        <f t="shared" si="10"/>
        <v>17322.449696969721</v>
      </c>
      <c r="BE17" s="8">
        <f t="shared" si="10"/>
        <v>12404.956666666694</v>
      </c>
      <c r="BF17" s="8">
        <f t="shared" si="10"/>
        <v>2144.44333333332</v>
      </c>
      <c r="BG17" s="8">
        <f t="shared" si="10"/>
        <v>125.85333333332892</v>
      </c>
      <c r="BH17" s="8">
        <f t="shared" si="10"/>
        <v>5340.4066666666804</v>
      </c>
      <c r="BI17" s="8">
        <f t="shared" si="10"/>
        <v>6002.229999999985</v>
      </c>
      <c r="BJ17" s="8">
        <f t="shared" si="10"/>
        <v>3429.9533333333275</v>
      </c>
      <c r="BK17" s="8">
        <f t="shared" si="10"/>
        <v>2939.1866666666738</v>
      </c>
      <c r="BL17" s="8">
        <f t="shared" si="10"/>
        <v>2303.2100000000132</v>
      </c>
      <c r="BM17" s="8">
        <f t="shared" si="10"/>
        <v>4287.1933333333427</v>
      </c>
      <c r="BN17" s="8">
        <f t="shared" si="10"/>
        <v>1576.6766666666713</v>
      </c>
      <c r="BO17" s="8">
        <f t="shared" ref="BO17:BZ17" si="11">+BO15+BO7</f>
        <v>16823.390909090929</v>
      </c>
      <c r="BP17" s="8">
        <f t="shared" si="11"/>
        <v>16149.454242424239</v>
      </c>
      <c r="BQ17" s="8">
        <f t="shared" si="11"/>
        <v>12160.246666666651</v>
      </c>
      <c r="BR17" s="8">
        <f t="shared" si="11"/>
        <v>9842.5033333333322</v>
      </c>
      <c r="BS17" s="8">
        <f t="shared" si="11"/>
        <v>7159.743333333332</v>
      </c>
      <c r="BT17" s="8">
        <f t="shared" si="11"/>
        <v>4728.9766666666574</v>
      </c>
      <c r="BU17" s="8">
        <f t="shared" si="11"/>
        <v>3641.1800000000112</v>
      </c>
      <c r="BV17" s="8">
        <f t="shared" si="11"/>
        <v>176.79333333332761</v>
      </c>
      <c r="BW17" s="8">
        <f t="shared" si="11"/>
        <v>141.16666666666424</v>
      </c>
      <c r="BX17" s="8">
        <f t="shared" si="11"/>
        <v>-559.32999999999811</v>
      </c>
      <c r="BY17" s="8">
        <f t="shared" si="11"/>
        <v>-1658.1766666666699</v>
      </c>
      <c r="BZ17" s="8">
        <f t="shared" si="11"/>
        <v>-2145.213333333335</v>
      </c>
    </row>
    <row r="19" spans="1:78">
      <c r="A19" s="25" t="s">
        <v>36</v>
      </c>
      <c r="D19" t="s">
        <v>37</v>
      </c>
      <c r="E19" s="22">
        <v>218238.76</v>
      </c>
      <c r="F19" s="22">
        <v>217631.22</v>
      </c>
      <c r="G19" s="22">
        <v>215799.79</v>
      </c>
      <c r="H19" s="22">
        <v>213717.5</v>
      </c>
      <c r="I19" s="22">
        <v>200455.16</v>
      </c>
      <c r="J19" s="22">
        <v>199174.08</v>
      </c>
      <c r="K19" s="22">
        <v>198871.91</v>
      </c>
      <c r="L19" s="22">
        <v>201633.03</v>
      </c>
      <c r="M19" s="22">
        <v>198427.36</v>
      </c>
      <c r="N19" s="14">
        <v>201764.75</v>
      </c>
      <c r="O19" s="14">
        <v>204090.18</v>
      </c>
      <c r="P19" s="14">
        <v>204811.16</v>
      </c>
      <c r="Q19" s="14">
        <v>207426.69</v>
      </c>
      <c r="R19" s="14">
        <v>208671.66</v>
      </c>
      <c r="S19" s="14">
        <v>205831.41</v>
      </c>
      <c r="T19" s="14">
        <v>196400.27</v>
      </c>
      <c r="U19" s="14">
        <v>183372.72</v>
      </c>
      <c r="V19" s="14">
        <v>187318.57</v>
      </c>
      <c r="W19" s="14">
        <v>192689.72</v>
      </c>
      <c r="X19" s="14">
        <v>196488.25</v>
      </c>
      <c r="Y19" s="14">
        <v>199939.96</v>
      </c>
      <c r="Z19" s="14">
        <v>206509.62</v>
      </c>
      <c r="AA19" s="14">
        <v>208026.37</v>
      </c>
      <c r="AB19" s="14">
        <v>226589.55</v>
      </c>
      <c r="AC19" s="14">
        <v>236966</v>
      </c>
      <c r="AD19" s="14">
        <v>216536.92</v>
      </c>
      <c r="AE19" s="14">
        <v>208852.88</v>
      </c>
      <c r="AF19" s="14">
        <v>208084.34</v>
      </c>
      <c r="AG19" s="14">
        <v>190910.57</v>
      </c>
      <c r="AH19" s="14">
        <v>195109.54</v>
      </c>
      <c r="AI19" s="14">
        <v>196661.4</v>
      </c>
      <c r="AJ19" s="14">
        <v>198062.31</v>
      </c>
      <c r="AK19" s="14">
        <v>201360.67</v>
      </c>
      <c r="AL19" s="14">
        <v>205295.41</v>
      </c>
      <c r="AM19" s="14">
        <v>222436.86</v>
      </c>
      <c r="AN19" s="14">
        <v>223214.74</v>
      </c>
      <c r="AO19" s="14">
        <v>225441.26</v>
      </c>
      <c r="AP19" s="14">
        <v>200070.68</v>
      </c>
      <c r="AQ19" s="14">
        <v>190292.37</v>
      </c>
      <c r="AR19" s="13">
        <v>183451.03</v>
      </c>
      <c r="AS19" s="13">
        <v>165527.87</v>
      </c>
      <c r="AT19" s="13">
        <v>169705.41</v>
      </c>
      <c r="AU19" s="13">
        <v>171598.07</v>
      </c>
      <c r="AV19" s="13">
        <v>171675.05</v>
      </c>
      <c r="AW19" s="1">
        <v>174179.87</v>
      </c>
      <c r="AX19" s="1">
        <v>196037.68</v>
      </c>
      <c r="AY19" s="1">
        <v>201222.8</v>
      </c>
      <c r="AZ19" s="1">
        <v>199351.59</v>
      </c>
      <c r="BA19" s="1">
        <v>182578.38</v>
      </c>
      <c r="BB19" s="1">
        <v>172974.49</v>
      </c>
      <c r="BC19" s="1">
        <v>168857.21</v>
      </c>
      <c r="BD19" s="1">
        <v>138236.38</v>
      </c>
      <c r="BE19" s="1">
        <v>139914.1</v>
      </c>
      <c r="BF19" s="1">
        <v>136897.97</v>
      </c>
      <c r="BG19" s="1">
        <v>133154.15</v>
      </c>
      <c r="BH19" s="1">
        <v>141056.29</v>
      </c>
      <c r="BI19" s="1">
        <v>146472.87</v>
      </c>
      <c r="BJ19" s="1">
        <v>171294.25</v>
      </c>
      <c r="BK19" s="1">
        <v>171543.28</v>
      </c>
      <c r="BL19" s="1">
        <v>155924.75</v>
      </c>
      <c r="BM19" s="1">
        <v>154498.1</v>
      </c>
      <c r="BN19" s="1">
        <v>152371.14000000001</v>
      </c>
      <c r="BO19" s="1">
        <v>120388.32</v>
      </c>
      <c r="BP19" s="1">
        <v>99920.19</v>
      </c>
      <c r="BQ19" s="1">
        <v>101238.88</v>
      </c>
      <c r="BR19" s="1">
        <v>105639.09</v>
      </c>
      <c r="BS19" s="1">
        <v>108992.54</v>
      </c>
      <c r="BT19" s="1">
        <v>112437.44</v>
      </c>
      <c r="BU19" s="1">
        <v>113633.69</v>
      </c>
      <c r="BV19" s="1">
        <v>115805.19</v>
      </c>
      <c r="BW19" s="1">
        <v>157672.74</v>
      </c>
      <c r="BX19" s="1">
        <v>164947.21</v>
      </c>
      <c r="BY19" s="1">
        <v>154575.5</v>
      </c>
      <c r="BZ19" s="1">
        <v>151253.48000000001</v>
      </c>
    </row>
    <row r="20" spans="1:78">
      <c r="A20" t="s">
        <v>38</v>
      </c>
      <c r="D20" t="s">
        <v>39</v>
      </c>
      <c r="E20" s="14">
        <v>-49286.32</v>
      </c>
      <c r="F20" s="14">
        <v>-49286.32</v>
      </c>
      <c r="G20" s="14">
        <v>-49286.32</v>
      </c>
      <c r="H20" s="14">
        <v>-49286.32</v>
      </c>
      <c r="I20" s="14">
        <v>-49286.32</v>
      </c>
      <c r="J20" s="14">
        <v>-49286.32</v>
      </c>
      <c r="K20" s="14">
        <v>-49286.32</v>
      </c>
      <c r="L20" s="14">
        <v>-49286.32</v>
      </c>
      <c r="M20" s="14">
        <v>-49286.32</v>
      </c>
      <c r="N20" s="14">
        <v>-49286.32</v>
      </c>
      <c r="O20" s="14">
        <v>-52772.84</v>
      </c>
      <c r="P20" s="14">
        <v>-52772.84</v>
      </c>
      <c r="Q20" s="14">
        <v>-52772.84</v>
      </c>
      <c r="R20" s="14">
        <v>-52772.84</v>
      </c>
      <c r="S20" s="14">
        <v>-52772.84</v>
      </c>
      <c r="T20" s="14">
        <v>-49435.3</v>
      </c>
      <c r="U20" s="14">
        <v>-49435.3</v>
      </c>
      <c r="V20" s="14">
        <v>-49435.3</v>
      </c>
      <c r="W20" s="14">
        <v>-49435.3</v>
      </c>
      <c r="X20" s="14">
        <v>-49435.3</v>
      </c>
      <c r="Y20" s="14">
        <v>-49435.3</v>
      </c>
      <c r="Z20" s="14">
        <v>-49435.3</v>
      </c>
      <c r="AA20" s="14">
        <v>-49435.3</v>
      </c>
      <c r="AB20" s="14">
        <v>-49435.3</v>
      </c>
      <c r="AC20" s="14">
        <v>-49435.3</v>
      </c>
      <c r="AD20" s="14">
        <v>-49435.3</v>
      </c>
      <c r="AE20" s="14">
        <v>-49435.3</v>
      </c>
      <c r="AF20" s="14">
        <v>-49532.62</v>
      </c>
      <c r="AG20" s="14">
        <v>-49532.62</v>
      </c>
      <c r="AH20" s="14">
        <v>-49532.62</v>
      </c>
      <c r="AI20" s="14">
        <v>-49532.62</v>
      </c>
      <c r="AJ20" s="14">
        <v>-49532.62</v>
      </c>
      <c r="AK20" s="14">
        <v>-49532.62</v>
      </c>
      <c r="AL20" s="14">
        <v>-49532.62</v>
      </c>
      <c r="AM20" s="14">
        <v>-49532.62</v>
      </c>
      <c r="AN20" s="14">
        <v>-49532.62</v>
      </c>
      <c r="AO20" s="14">
        <v>-49532.62</v>
      </c>
      <c r="AP20" s="14">
        <v>-49532.62</v>
      </c>
      <c r="AQ20" s="14">
        <v>-49532.62</v>
      </c>
      <c r="AR20" s="14">
        <v>-50647.44</v>
      </c>
      <c r="AS20" s="14">
        <v>-48110.63</v>
      </c>
      <c r="AT20" s="14">
        <v>-47041.58</v>
      </c>
      <c r="AU20" s="14">
        <v>-47041.58</v>
      </c>
      <c r="AV20" s="14">
        <v>-47041.58</v>
      </c>
      <c r="AW20" s="1">
        <v>-47041.58</v>
      </c>
      <c r="AX20" s="1">
        <v>-47041.58</v>
      </c>
      <c r="AY20" s="1">
        <v>-47041.58</v>
      </c>
      <c r="AZ20" s="1">
        <v>-47041.58</v>
      </c>
      <c r="BA20" s="1">
        <v>-47041.58</v>
      </c>
      <c r="BB20" s="1">
        <v>-47041.58</v>
      </c>
      <c r="BC20" s="1">
        <v>-47041.58</v>
      </c>
      <c r="BD20" s="1">
        <v>-46210.35</v>
      </c>
      <c r="BE20" s="1">
        <v>-46210.35</v>
      </c>
      <c r="BF20" s="1">
        <v>-46210.35</v>
      </c>
      <c r="BG20" s="1">
        <v>-46210.35</v>
      </c>
      <c r="BH20" s="1">
        <v>-46210.35</v>
      </c>
      <c r="BI20" s="1">
        <v>-46210.35</v>
      </c>
      <c r="BJ20" s="1">
        <v>-46210.35</v>
      </c>
      <c r="BK20" s="1">
        <v>-46210.35</v>
      </c>
      <c r="BL20" s="1">
        <v>-46210.35</v>
      </c>
      <c r="BM20" s="1">
        <v>-46210.35</v>
      </c>
      <c r="BN20" s="1">
        <v>-46210.35</v>
      </c>
      <c r="BO20" s="1">
        <v>-47919.53</v>
      </c>
      <c r="BP20" s="1">
        <v>-47919.53</v>
      </c>
      <c r="BQ20" s="1">
        <v>-47919.53</v>
      </c>
      <c r="BR20" s="1">
        <v>-47919.53</v>
      </c>
      <c r="BS20" s="1">
        <v>-47919.53</v>
      </c>
      <c r="BT20" s="1">
        <v>-47919.53</v>
      </c>
      <c r="BU20" s="1">
        <v>-47919.53</v>
      </c>
      <c r="BV20" s="1">
        <v>-47919.53</v>
      </c>
      <c r="BW20" s="1">
        <v>-47919.53</v>
      </c>
      <c r="BX20" s="1">
        <v>-47919.53</v>
      </c>
      <c r="BY20" s="1">
        <v>-47919.53</v>
      </c>
      <c r="BZ20" s="1">
        <v>-47919.53</v>
      </c>
    </row>
    <row r="21" spans="1:78">
      <c r="A21" t="s">
        <v>34</v>
      </c>
      <c r="E21" s="2">
        <f>SUM(E19:E20)</f>
        <v>168952.44</v>
      </c>
      <c r="F21" s="2">
        <f>SUM(F19:F20)</f>
        <v>168344.9</v>
      </c>
      <c r="G21" s="2">
        <f>SUM(G19:G20)</f>
        <v>166513.47</v>
      </c>
      <c r="H21" s="2">
        <f>SUM(H19:H20)</f>
        <v>164431.18</v>
      </c>
      <c r="I21" s="2">
        <f>SUM(I19:I20)</f>
        <v>151168.84</v>
      </c>
      <c r="J21" s="2">
        <f>SUM(J19:J20)</f>
        <v>149887.75999999998</v>
      </c>
      <c r="K21" s="2">
        <f>SUM(K19:K20)</f>
        <v>149585.59</v>
      </c>
      <c r="L21" s="2">
        <f>SUM(L19:L20)</f>
        <v>152346.71</v>
      </c>
      <c r="M21" s="2">
        <f>SUM(M19:M20)</f>
        <v>149141.03999999998</v>
      </c>
      <c r="N21" s="2">
        <f>SUM(N19:N20)</f>
        <v>152478.43</v>
      </c>
      <c r="O21" s="2">
        <f t="shared" ref="O21:BZ21" si="12">SUM(O19:O20)</f>
        <v>151317.34</v>
      </c>
      <c r="P21" s="2">
        <f t="shared" si="12"/>
        <v>152038.32</v>
      </c>
      <c r="Q21" s="2">
        <f t="shared" si="12"/>
        <v>154653.85</v>
      </c>
      <c r="R21" s="2">
        <f t="shared" si="12"/>
        <v>155898.82</v>
      </c>
      <c r="S21" s="2">
        <f t="shared" si="12"/>
        <v>153058.57</v>
      </c>
      <c r="T21" s="2">
        <f t="shared" si="12"/>
        <v>146964.96999999997</v>
      </c>
      <c r="U21" s="2">
        <f t="shared" si="12"/>
        <v>133937.41999999998</v>
      </c>
      <c r="V21" s="2">
        <f t="shared" si="12"/>
        <v>137883.27000000002</v>
      </c>
      <c r="W21" s="2">
        <f t="shared" si="12"/>
        <v>143254.41999999998</v>
      </c>
      <c r="X21" s="2">
        <f t="shared" si="12"/>
        <v>147052.95000000001</v>
      </c>
      <c r="Y21" s="2">
        <f t="shared" si="12"/>
        <v>150504.65999999997</v>
      </c>
      <c r="Z21" s="2">
        <f t="shared" si="12"/>
        <v>157074.32</v>
      </c>
      <c r="AA21" s="2">
        <f t="shared" si="12"/>
        <v>158591.07</v>
      </c>
      <c r="AB21" s="2">
        <f t="shared" si="12"/>
        <v>177154.25</v>
      </c>
      <c r="AC21" s="2">
        <f t="shared" si="12"/>
        <v>187530.7</v>
      </c>
      <c r="AD21" s="2">
        <f t="shared" si="12"/>
        <v>167101.62</v>
      </c>
      <c r="AE21" s="2">
        <f t="shared" si="12"/>
        <v>159417.58000000002</v>
      </c>
      <c r="AF21" s="2">
        <f t="shared" si="12"/>
        <v>158551.72</v>
      </c>
      <c r="AG21" s="2">
        <f t="shared" si="12"/>
        <v>141377.95000000001</v>
      </c>
      <c r="AH21" s="2">
        <f t="shared" si="12"/>
        <v>145576.92000000001</v>
      </c>
      <c r="AI21" s="2">
        <f t="shared" si="12"/>
        <v>147128.78</v>
      </c>
      <c r="AJ21" s="2">
        <f t="shared" si="12"/>
        <v>148529.69</v>
      </c>
      <c r="AK21" s="2">
        <f t="shared" si="12"/>
        <v>151828.05000000002</v>
      </c>
      <c r="AL21" s="2">
        <f t="shared" si="12"/>
        <v>155762.79</v>
      </c>
      <c r="AM21" s="2">
        <f t="shared" si="12"/>
        <v>172904.24</v>
      </c>
      <c r="AN21" s="2">
        <f t="shared" si="12"/>
        <v>173682.12</v>
      </c>
      <c r="AO21" s="2">
        <f t="shared" si="12"/>
        <v>175908.64</v>
      </c>
      <c r="AP21" s="2">
        <f t="shared" si="12"/>
        <v>150538.06</v>
      </c>
      <c r="AQ21" s="2">
        <f t="shared" si="12"/>
        <v>140759.75</v>
      </c>
      <c r="AR21" s="2">
        <f t="shared" si="12"/>
        <v>132803.59</v>
      </c>
      <c r="AS21" s="2">
        <f t="shared" si="12"/>
        <v>117417.23999999999</v>
      </c>
      <c r="AT21" s="2">
        <f t="shared" si="12"/>
        <v>122663.83</v>
      </c>
      <c r="AU21" s="2">
        <f t="shared" si="12"/>
        <v>124556.49</v>
      </c>
      <c r="AV21" s="2">
        <f t="shared" si="12"/>
        <v>124633.46999999999</v>
      </c>
      <c r="AW21" s="2">
        <f t="shared" si="12"/>
        <v>127138.29</v>
      </c>
      <c r="AX21" s="2">
        <f t="shared" si="12"/>
        <v>148996.09999999998</v>
      </c>
      <c r="AY21" s="2">
        <f t="shared" si="12"/>
        <v>154181.21999999997</v>
      </c>
      <c r="AZ21" s="2">
        <f t="shared" si="12"/>
        <v>152310.01</v>
      </c>
      <c r="BA21" s="2">
        <f t="shared" si="12"/>
        <v>135536.79999999999</v>
      </c>
      <c r="BB21" s="2">
        <f t="shared" si="12"/>
        <v>125932.90999999999</v>
      </c>
      <c r="BC21" s="2">
        <f t="shared" si="12"/>
        <v>121815.62999999999</v>
      </c>
      <c r="BD21" s="2">
        <f t="shared" si="12"/>
        <v>92026.03</v>
      </c>
      <c r="BE21" s="2">
        <f t="shared" si="12"/>
        <v>93703.75</v>
      </c>
      <c r="BF21" s="2">
        <f t="shared" si="12"/>
        <v>90687.62</v>
      </c>
      <c r="BG21" s="2">
        <f t="shared" si="12"/>
        <v>86943.799999999988</v>
      </c>
      <c r="BH21" s="2">
        <f t="shared" si="12"/>
        <v>94845.94</v>
      </c>
      <c r="BI21" s="2">
        <f t="shared" si="12"/>
        <v>100262.51999999999</v>
      </c>
      <c r="BJ21" s="2">
        <f t="shared" si="12"/>
        <v>125083.9</v>
      </c>
      <c r="BK21" s="2">
        <f t="shared" si="12"/>
        <v>125332.93</v>
      </c>
      <c r="BL21" s="2">
        <f t="shared" si="12"/>
        <v>109714.4</v>
      </c>
      <c r="BM21" s="2">
        <f t="shared" si="12"/>
        <v>108287.75</v>
      </c>
      <c r="BN21" s="2">
        <f t="shared" si="12"/>
        <v>106160.79000000001</v>
      </c>
      <c r="BO21" s="2">
        <f t="shared" si="12"/>
        <v>72468.790000000008</v>
      </c>
      <c r="BP21" s="2">
        <f t="shared" si="12"/>
        <v>52000.66</v>
      </c>
      <c r="BQ21" s="2">
        <f t="shared" si="12"/>
        <v>53319.350000000006</v>
      </c>
      <c r="BR21" s="2">
        <f t="shared" si="12"/>
        <v>57719.56</v>
      </c>
      <c r="BS21" s="2">
        <f t="shared" si="12"/>
        <v>61073.009999999995</v>
      </c>
      <c r="BT21" s="2">
        <f t="shared" si="12"/>
        <v>64517.91</v>
      </c>
      <c r="BU21" s="2">
        <f t="shared" si="12"/>
        <v>65714.16</v>
      </c>
      <c r="BV21" s="2">
        <f t="shared" si="12"/>
        <v>67885.66</v>
      </c>
      <c r="BW21" s="2">
        <f t="shared" si="12"/>
        <v>109753.20999999999</v>
      </c>
      <c r="BX21" s="2">
        <f t="shared" si="12"/>
        <v>117027.68</v>
      </c>
      <c r="BY21" s="2">
        <f t="shared" si="12"/>
        <v>106655.97</v>
      </c>
      <c r="BZ21" s="2">
        <f t="shared" si="12"/>
        <v>103333.95000000001</v>
      </c>
    </row>
    <row r="23" spans="1:78">
      <c r="A23" s="25" t="s">
        <v>40</v>
      </c>
      <c r="D23" t="s">
        <v>41</v>
      </c>
      <c r="E23" s="13">
        <v>2052.88</v>
      </c>
      <c r="F23" s="13">
        <v>0</v>
      </c>
      <c r="G23" s="13">
        <v>0</v>
      </c>
      <c r="H23" s="13">
        <v>9553.5400000000009</v>
      </c>
      <c r="I23" s="13">
        <v>9872.83</v>
      </c>
      <c r="J23" s="13">
        <v>9891.52</v>
      </c>
      <c r="K23" s="13">
        <v>9914.73</v>
      </c>
      <c r="L23" s="13">
        <v>9914.73</v>
      </c>
      <c r="M23" s="13">
        <v>9914.73</v>
      </c>
      <c r="N23" s="13">
        <v>9914.73</v>
      </c>
      <c r="O23" s="13">
        <v>9977.82</v>
      </c>
      <c r="P23" s="13"/>
      <c r="Q23" s="13"/>
      <c r="R23" s="13"/>
      <c r="S23" s="13"/>
      <c r="T23" s="13">
        <v>2159.13</v>
      </c>
      <c r="U23" s="13">
        <v>2059.13</v>
      </c>
      <c r="V23" s="13">
        <v>2059.13</v>
      </c>
      <c r="W23" s="13">
        <v>2059.13</v>
      </c>
      <c r="X23" s="13">
        <v>2059.13</v>
      </c>
      <c r="Y23" s="13">
        <v>2059.13</v>
      </c>
      <c r="Z23" s="13">
        <v>2059.13</v>
      </c>
      <c r="AA23" s="13">
        <v>2059.13</v>
      </c>
      <c r="AB23" s="13"/>
      <c r="AC23" s="13"/>
      <c r="AD23" s="13"/>
      <c r="AE23" s="13"/>
      <c r="AF23" s="13">
        <v>15327.16</v>
      </c>
      <c r="AG23" s="13">
        <v>15327.16</v>
      </c>
      <c r="AH23" s="13">
        <v>15327.16</v>
      </c>
      <c r="AI23" s="13">
        <v>15327.16</v>
      </c>
      <c r="AJ23" s="13">
        <v>15327.16</v>
      </c>
      <c r="AK23" s="13">
        <v>15327.16</v>
      </c>
      <c r="AL23" s="13">
        <v>15327.16</v>
      </c>
      <c r="AM23" s="13">
        <v>15327.16</v>
      </c>
      <c r="AR23" s="6">
        <v>11273.89</v>
      </c>
      <c r="AS23" s="6">
        <v>11273.89</v>
      </c>
      <c r="AT23" s="6">
        <v>11273.89</v>
      </c>
      <c r="AU23" s="6">
        <v>11273.89</v>
      </c>
      <c r="AV23" s="6">
        <v>11273.89</v>
      </c>
      <c r="AW23" s="6">
        <v>11273.89</v>
      </c>
      <c r="AX23" s="6"/>
      <c r="AY23" s="6"/>
      <c r="AZ23" s="6"/>
      <c r="BA23" s="6"/>
      <c r="BB23" s="6"/>
      <c r="BC23" s="6"/>
      <c r="BD23" s="6">
        <v>12836.49</v>
      </c>
      <c r="BE23" s="6">
        <v>13124.2</v>
      </c>
      <c r="BF23" s="6">
        <v>13755</v>
      </c>
      <c r="BG23" s="6">
        <v>13755</v>
      </c>
      <c r="BH23" s="6">
        <v>13755</v>
      </c>
      <c r="BI23" s="6">
        <v>15375.21</v>
      </c>
      <c r="BJ23" s="3" t="s">
        <v>42</v>
      </c>
      <c r="BK23" s="3" t="s">
        <v>42</v>
      </c>
      <c r="BL23" s="3" t="s">
        <v>42</v>
      </c>
      <c r="BM23" s="3" t="s">
        <v>42</v>
      </c>
      <c r="BN23" s="3" t="s">
        <v>42</v>
      </c>
      <c r="BO23" s="6">
        <v>-17550.150000000001</v>
      </c>
      <c r="BP23" s="6">
        <v>-17550.150000000001</v>
      </c>
      <c r="BQ23" s="6">
        <v>-17550.150000000001</v>
      </c>
      <c r="BR23" s="6">
        <v>-15778.35</v>
      </c>
      <c r="BS23" s="6">
        <v>-15778.35</v>
      </c>
      <c r="BT23" s="6">
        <v>-15778.35</v>
      </c>
      <c r="BU23" s="6">
        <v>-15778.35</v>
      </c>
      <c r="BV23" s="6">
        <v>-15191.85</v>
      </c>
      <c r="BW23" s="3" t="s">
        <v>42</v>
      </c>
      <c r="BX23" s="3" t="s">
        <v>42</v>
      </c>
      <c r="BY23" s="3" t="s">
        <v>42</v>
      </c>
      <c r="BZ23" s="3" t="s">
        <v>42</v>
      </c>
    </row>
    <row r="25" spans="1:78">
      <c r="BD25" s="9"/>
      <c r="BE25" s="9"/>
    </row>
    <row r="26" spans="1:78">
      <c r="D26" t="s">
        <v>43</v>
      </c>
      <c r="AW26" s="11"/>
      <c r="AX26" s="11"/>
      <c r="AY26" s="11"/>
      <c r="AZ26" s="11"/>
      <c r="BA26" s="11"/>
      <c r="BB26" s="11"/>
      <c r="BC26" s="11"/>
      <c r="BM26" s="1"/>
    </row>
    <row r="30" spans="1:78">
      <c r="BM30" s="9"/>
    </row>
  </sheetData>
  <mergeCells count="5">
    <mergeCell ref="BO1:BQ1"/>
    <mergeCell ref="T1:AE1"/>
    <mergeCell ref="AF1:AQ1"/>
    <mergeCell ref="AR1:BC1"/>
    <mergeCell ref="BD1:BE1"/>
  </mergeCells>
  <pageMargins left="0.7" right="0.7" top="0.75" bottom="0.75" header="0.3" footer="0.3"/>
  <pageSetup scale="2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5977-2558-4E8E-BBDC-798BD418D45D}">
  <sheetPr>
    <pageSetUpPr fitToPage="1"/>
  </sheetPr>
  <dimension ref="A1:CB30"/>
  <sheetViews>
    <sheetView workbookViewId="0">
      <selection sqref="A1:A1048576"/>
    </sheetView>
  </sheetViews>
  <sheetFormatPr defaultColWidth="9.140625" defaultRowHeight="15"/>
  <cols>
    <col min="1" max="1" width="33.140625" hidden="1" customWidth="1"/>
    <col min="4" max="4" width="52.140625" customWidth="1"/>
    <col min="5" max="5" width="16.28515625" customWidth="1"/>
    <col min="6" max="7" width="20.28515625" customWidth="1"/>
    <col min="8" max="8" width="20.28515625" hidden="1" customWidth="1"/>
    <col min="9" max="10" width="17.42578125" hidden="1" customWidth="1"/>
    <col min="11" max="16" width="15.140625" hidden="1" customWidth="1"/>
    <col min="17" max="19" width="15.140625" customWidth="1"/>
    <col min="20" max="35" width="15.140625" hidden="1" customWidth="1"/>
    <col min="36" max="36" width="15.5703125" hidden="1" customWidth="1"/>
    <col min="37" max="37" width="15.140625" hidden="1" customWidth="1"/>
    <col min="38" max="38" width="15.28515625" hidden="1" customWidth="1"/>
    <col min="39" max="45" width="15.140625" hidden="1" customWidth="1"/>
    <col min="46" max="47" width="14.7109375" hidden="1" customWidth="1"/>
    <col min="48" max="48" width="16.28515625" hidden="1" customWidth="1"/>
    <col min="49" max="50" width="14.7109375" hidden="1" customWidth="1"/>
    <col min="51" max="52" width="17.7109375" hidden="1" customWidth="1"/>
    <col min="53" max="58" width="15.7109375" hidden="1" customWidth="1"/>
    <col min="59" max="59" width="14.85546875" hidden="1" customWidth="1"/>
    <col min="60" max="61" width="15.140625" hidden="1" customWidth="1"/>
    <col min="62" max="62" width="13.7109375" hidden="1" customWidth="1"/>
    <col min="63" max="63" width="10.85546875" hidden="1" customWidth="1"/>
    <col min="64" max="65" width="14.7109375" hidden="1" customWidth="1"/>
    <col min="66" max="66" width="12" hidden="1" customWidth="1"/>
    <col min="67" max="71" width="13.5703125" hidden="1" customWidth="1"/>
    <col min="72" max="72" width="14.28515625" hidden="1" customWidth="1"/>
    <col min="73" max="75" width="11.140625" hidden="1" customWidth="1"/>
    <col min="76" max="77" width="8.85546875" customWidth="1"/>
  </cols>
  <sheetData>
    <row r="1" spans="1:80">
      <c r="A1" t="s">
        <v>0</v>
      </c>
      <c r="B1" t="s">
        <v>1</v>
      </c>
      <c r="F1" s="3">
        <v>2020</v>
      </c>
      <c r="K1" s="3"/>
      <c r="L1" s="35"/>
      <c r="M1" s="35"/>
      <c r="N1" s="35"/>
      <c r="O1" s="35"/>
      <c r="P1" s="35"/>
      <c r="Q1" s="34">
        <v>2019</v>
      </c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>
        <v>2018</v>
      </c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6"/>
      <c r="AO1" s="37">
        <v>2017</v>
      </c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8"/>
      <c r="BA1" s="32"/>
      <c r="BB1" s="32"/>
      <c r="BC1" s="12"/>
      <c r="BD1" s="12"/>
      <c r="BE1" s="12"/>
      <c r="BF1" s="12"/>
      <c r="BG1" s="12"/>
      <c r="BH1" s="28"/>
      <c r="BI1" s="29"/>
      <c r="BJ1" s="29"/>
      <c r="BK1" s="29"/>
      <c r="BL1" s="31">
        <v>2015</v>
      </c>
      <c r="BM1" s="32"/>
      <c r="BN1" s="33"/>
      <c r="BO1" s="28"/>
      <c r="BP1" s="10"/>
      <c r="BQ1" s="29"/>
      <c r="BR1" s="29"/>
      <c r="BS1" s="28"/>
      <c r="BT1" s="28"/>
      <c r="BU1" s="28"/>
      <c r="BV1" s="28"/>
      <c r="BW1" s="29"/>
    </row>
    <row r="2" spans="1:80"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2</v>
      </c>
      <c r="O2" s="18" t="s">
        <v>3</v>
      </c>
      <c r="P2" s="18" t="s">
        <v>4</v>
      </c>
      <c r="Q2" s="18" t="s">
        <v>5</v>
      </c>
      <c r="R2" s="18" t="s">
        <v>6</v>
      </c>
      <c r="S2" s="18" t="s">
        <v>7</v>
      </c>
      <c r="T2" s="18" t="s">
        <v>8</v>
      </c>
      <c r="U2" s="18" t="s">
        <v>9</v>
      </c>
      <c r="V2" s="18" t="s">
        <v>10</v>
      </c>
      <c r="W2" s="18" t="s">
        <v>11</v>
      </c>
      <c r="X2" s="18" t="s">
        <v>12</v>
      </c>
      <c r="Y2" s="18" t="s">
        <v>13</v>
      </c>
      <c r="Z2" s="18" t="s">
        <v>2</v>
      </c>
      <c r="AA2" s="18" t="s">
        <v>3</v>
      </c>
      <c r="AB2" s="18" t="s">
        <v>4</v>
      </c>
      <c r="AC2" s="18" t="s">
        <v>5</v>
      </c>
      <c r="AD2" s="18" t="s">
        <v>6</v>
      </c>
      <c r="AE2" s="18" t="s">
        <v>7</v>
      </c>
      <c r="AF2" s="18" t="s">
        <v>8</v>
      </c>
      <c r="AG2" s="18" t="s">
        <v>9</v>
      </c>
      <c r="AH2" s="18" t="s">
        <v>10</v>
      </c>
      <c r="AI2" s="18" t="s">
        <v>11</v>
      </c>
      <c r="AJ2" s="18" t="s">
        <v>12</v>
      </c>
      <c r="AK2" s="18" t="s">
        <v>13</v>
      </c>
      <c r="AL2" s="18" t="s">
        <v>2</v>
      </c>
      <c r="AM2" s="18" t="s">
        <v>3</v>
      </c>
      <c r="AN2" s="18" t="s">
        <v>4</v>
      </c>
      <c r="AO2" s="4" t="s">
        <v>5</v>
      </c>
      <c r="AP2" s="4" t="s">
        <v>6</v>
      </c>
      <c r="AQ2" s="4" t="s">
        <v>7</v>
      </c>
      <c r="AR2" s="4" t="s">
        <v>8</v>
      </c>
      <c r="AS2" s="4" t="s">
        <v>9</v>
      </c>
      <c r="AT2" s="4" t="s">
        <v>10</v>
      </c>
      <c r="AU2" s="4" t="s">
        <v>11</v>
      </c>
      <c r="AV2" s="4" t="s">
        <v>12</v>
      </c>
      <c r="AW2" s="4" t="s">
        <v>13</v>
      </c>
      <c r="AX2" s="4" t="s">
        <v>2</v>
      </c>
      <c r="AY2" s="4" t="s">
        <v>3</v>
      </c>
      <c r="AZ2" s="4" t="s">
        <v>4</v>
      </c>
      <c r="BA2" s="4" t="s">
        <v>6</v>
      </c>
      <c r="BB2" s="4" t="s">
        <v>7</v>
      </c>
      <c r="BC2" s="4" t="s">
        <v>8</v>
      </c>
      <c r="BD2" s="4" t="s">
        <v>9</v>
      </c>
      <c r="BE2" s="4" t="s">
        <v>10</v>
      </c>
      <c r="BF2" s="4" t="s">
        <v>11</v>
      </c>
      <c r="BG2" s="4" t="s">
        <v>12</v>
      </c>
      <c r="BH2" s="4" t="s">
        <v>13</v>
      </c>
      <c r="BI2" s="4" t="s">
        <v>2</v>
      </c>
      <c r="BJ2" s="4" t="s">
        <v>3</v>
      </c>
      <c r="BK2" s="4" t="s">
        <v>4</v>
      </c>
      <c r="BL2" s="4" t="s">
        <v>5</v>
      </c>
      <c r="BM2" s="4" t="s">
        <v>6</v>
      </c>
      <c r="BN2" s="4" t="s">
        <v>7</v>
      </c>
      <c r="BO2" s="4" t="s">
        <v>8</v>
      </c>
      <c r="BP2" s="4" t="s">
        <v>9</v>
      </c>
      <c r="BQ2" s="4" t="s">
        <v>10</v>
      </c>
      <c r="BR2" s="4" t="s">
        <v>11</v>
      </c>
      <c r="BS2" s="4" t="s">
        <v>12</v>
      </c>
      <c r="BT2" s="4" t="s">
        <v>13</v>
      </c>
      <c r="BU2" s="4" t="s">
        <v>2</v>
      </c>
      <c r="BV2" s="4" t="s">
        <v>3</v>
      </c>
      <c r="BW2" s="4" t="s">
        <v>4</v>
      </c>
    </row>
    <row r="3" spans="1:80">
      <c r="A3" s="25" t="s">
        <v>14</v>
      </c>
      <c r="D3" t="s">
        <v>15</v>
      </c>
      <c r="E3" s="24">
        <f>329+17</f>
        <v>346</v>
      </c>
      <c r="F3" s="24">
        <f>320+17</f>
        <v>337</v>
      </c>
      <c r="G3" s="24">
        <f>323+17</f>
        <v>340</v>
      </c>
      <c r="H3" s="24">
        <f>319+17</f>
        <v>336</v>
      </c>
      <c r="I3">
        <f>325+17</f>
        <v>342</v>
      </c>
      <c r="J3">
        <v>334</v>
      </c>
      <c r="K3">
        <v>323</v>
      </c>
      <c r="L3">
        <v>328</v>
      </c>
      <c r="M3">
        <v>326</v>
      </c>
      <c r="N3">
        <v>328</v>
      </c>
      <c r="O3">
        <v>332</v>
      </c>
      <c r="P3">
        <v>349</v>
      </c>
      <c r="Q3">
        <v>360</v>
      </c>
      <c r="R3">
        <v>360</v>
      </c>
      <c r="S3">
        <v>363</v>
      </c>
      <c r="T3">
        <v>371</v>
      </c>
      <c r="U3">
        <v>378</v>
      </c>
      <c r="V3">
        <v>374</v>
      </c>
      <c r="W3">
        <v>375</v>
      </c>
      <c r="X3">
        <v>376</v>
      </c>
      <c r="Y3">
        <v>383</v>
      </c>
      <c r="Z3">
        <v>387</v>
      </c>
      <c r="AA3">
        <v>386</v>
      </c>
      <c r="AB3">
        <v>392</v>
      </c>
      <c r="AC3">
        <v>405</v>
      </c>
      <c r="AD3">
        <v>407</v>
      </c>
      <c r="AE3">
        <v>399</v>
      </c>
      <c r="AF3">
        <v>396</v>
      </c>
      <c r="AG3">
        <v>396</v>
      </c>
      <c r="AH3">
        <v>397</v>
      </c>
      <c r="AI3">
        <v>400</v>
      </c>
      <c r="AJ3">
        <v>395</v>
      </c>
      <c r="AK3">
        <v>387</v>
      </c>
      <c r="AL3">
        <v>385</v>
      </c>
      <c r="AM3">
        <v>392</v>
      </c>
      <c r="AN3">
        <v>397</v>
      </c>
      <c r="AO3">
        <v>418</v>
      </c>
      <c r="AP3">
        <v>417</v>
      </c>
      <c r="AQ3">
        <v>421</v>
      </c>
      <c r="AR3">
        <f>412+14</f>
        <v>426</v>
      </c>
      <c r="AS3">
        <v>417</v>
      </c>
      <c r="AT3">
        <v>424</v>
      </c>
      <c r="AU3">
        <v>424</v>
      </c>
      <c r="AV3">
        <v>420</v>
      </c>
      <c r="AW3">
        <v>420</v>
      </c>
      <c r="AX3">
        <v>423</v>
      </c>
      <c r="AY3">
        <f>404+13</f>
        <v>417</v>
      </c>
      <c r="AZ3">
        <v>421</v>
      </c>
      <c r="BA3">
        <v>451</v>
      </c>
      <c r="BB3">
        <f>433+13</f>
        <v>446</v>
      </c>
      <c r="BC3">
        <f>428+13</f>
        <v>441</v>
      </c>
      <c r="BD3">
        <v>439</v>
      </c>
      <c r="BE3">
        <v>431</v>
      </c>
      <c r="BF3">
        <v>440</v>
      </c>
      <c r="BG3">
        <v>445</v>
      </c>
      <c r="BH3">
        <v>441</v>
      </c>
      <c r="BI3">
        <v>444</v>
      </c>
      <c r="BJ3">
        <v>441</v>
      </c>
      <c r="BK3">
        <v>449</v>
      </c>
      <c r="BL3">
        <v>440</v>
      </c>
      <c r="BM3">
        <v>438</v>
      </c>
      <c r="BN3">
        <v>437</v>
      </c>
      <c r="BO3">
        <v>435</v>
      </c>
      <c r="BP3">
        <v>433</v>
      </c>
      <c r="BQ3">
        <v>432</v>
      </c>
      <c r="BR3">
        <v>430</v>
      </c>
      <c r="BS3">
        <v>428</v>
      </c>
      <c r="BT3">
        <v>430</v>
      </c>
      <c r="BU3">
        <v>426</v>
      </c>
      <c r="BV3">
        <v>428</v>
      </c>
      <c r="BW3">
        <v>439</v>
      </c>
    </row>
    <row r="4" spans="1:80">
      <c r="A4" t="s">
        <v>44</v>
      </c>
      <c r="D4" t="s">
        <v>17</v>
      </c>
      <c r="E4" s="5">
        <f>AVERAGE(E3:K3)</f>
        <v>336.85714285714283</v>
      </c>
      <c r="F4" s="5">
        <f>AVERAGE(F3:L3)</f>
        <v>334.28571428571428</v>
      </c>
      <c r="G4" s="5">
        <f>AVERAGE(G3:M3)</f>
        <v>332.71428571428572</v>
      </c>
      <c r="H4" s="5">
        <f>AVERAGE(H3:N3)</f>
        <v>331</v>
      </c>
      <c r="I4" s="5">
        <f>AVERAGE(I3:O3)</f>
        <v>330.42857142857144</v>
      </c>
      <c r="J4" s="5">
        <f>AVERAGE(J3:P3)</f>
        <v>331.42857142857144</v>
      </c>
      <c r="K4" s="5">
        <f>AVERAGE(K3:P3)</f>
        <v>331</v>
      </c>
      <c r="L4" s="5">
        <f>AVERAGE(L3:P3)</f>
        <v>332.6</v>
      </c>
      <c r="M4" s="5">
        <f>AVERAGE(M3:P3)</f>
        <v>333.75</v>
      </c>
      <c r="N4" s="5">
        <f>AVERAGE(N3:P3)</f>
        <v>336.33333333333331</v>
      </c>
      <c r="O4" s="5">
        <f>AVERAGE(O3:P3)</f>
        <v>340.5</v>
      </c>
      <c r="P4" s="5">
        <f>AVERAGE(P3)</f>
        <v>349</v>
      </c>
      <c r="Q4" s="5">
        <f>AVERAGE(Q3:AB3)</f>
        <v>375.41666666666669</v>
      </c>
      <c r="R4" s="5">
        <f>AVERAGE(R3:AB3)</f>
        <v>376.81818181818181</v>
      </c>
      <c r="S4" s="5">
        <f>AVERAGE(S3:AB3)</f>
        <v>378.5</v>
      </c>
      <c r="T4" s="5">
        <f>AVERAGE(T3:AB3)</f>
        <v>380.22222222222223</v>
      </c>
      <c r="U4" s="5">
        <f>AVERAGE(U3:AB3)</f>
        <v>381.375</v>
      </c>
      <c r="V4" s="5">
        <f>AVERAGE(V3:AB3)</f>
        <v>381.85714285714283</v>
      </c>
      <c r="W4" s="5">
        <f>AVERAGE(W3:AB3)</f>
        <v>383.16666666666669</v>
      </c>
      <c r="X4" s="5">
        <f>AVERAGE(X3:AB3)</f>
        <v>384.8</v>
      </c>
      <c r="Y4" s="5">
        <f>AVERAGE(Y3:AB3)</f>
        <v>387</v>
      </c>
      <c r="Z4" s="5">
        <f>AVERAGE(Z3:AB3)</f>
        <v>388.33333333333331</v>
      </c>
      <c r="AA4" s="5">
        <f>AVERAGE(AA3:AB3)</f>
        <v>389</v>
      </c>
      <c r="AB4" s="5">
        <f>AVERAGE(AB3)</f>
        <v>392</v>
      </c>
      <c r="AC4" s="5">
        <f>AVERAGE(AC3:AN3)</f>
        <v>396.33333333333331</v>
      </c>
      <c r="AD4" s="5">
        <f>AVERAGE(AD3:AN3)</f>
        <v>395.54545454545456</v>
      </c>
      <c r="AE4" s="5">
        <f>AVERAGE(AE3:AN3)</f>
        <v>394.4</v>
      </c>
      <c r="AF4" s="5">
        <f>AVERAGE(AF3:AN3)</f>
        <v>393.88888888888891</v>
      </c>
      <c r="AG4" s="5">
        <f>AVERAGE(AG3:AN3)</f>
        <v>393.625</v>
      </c>
      <c r="AH4" s="5">
        <f>AVERAGE(AH3:AN3)</f>
        <v>393.28571428571428</v>
      </c>
      <c r="AI4" s="5">
        <f>AVERAGE(AI3:AN3)</f>
        <v>392.66666666666669</v>
      </c>
      <c r="AJ4" s="5">
        <f>AVERAGE(AJ3:AN3)</f>
        <v>391.2</v>
      </c>
      <c r="AK4" s="5">
        <f>AVERAGE(AK3:AN3)</f>
        <v>390.25</v>
      </c>
      <c r="AL4" s="5">
        <f>AVERAGE(AL3:AN3)</f>
        <v>391.33333333333331</v>
      </c>
      <c r="AM4" s="5">
        <f>AVERAGE(AM3:AN3)</f>
        <v>394.5</v>
      </c>
      <c r="AN4" s="5">
        <f>AVERAGE(AN3:AN3)</f>
        <v>397</v>
      </c>
      <c r="AO4" s="5">
        <f>AVERAGE(AO3:AZ3)</f>
        <v>420.66666666666669</v>
      </c>
      <c r="AP4" s="5">
        <f>AVERAGE(AP3:AZ3)</f>
        <v>420.90909090909093</v>
      </c>
      <c r="AQ4" s="5">
        <f>AVERAGE(AQ3:AZ3)</f>
        <v>421.3</v>
      </c>
      <c r="AR4" s="5">
        <f>AVERAGE(AR3:AZ3)</f>
        <v>421.33333333333331</v>
      </c>
      <c r="AS4" s="5">
        <f>AVERAGE(AS3:AZ3)</f>
        <v>420.75</v>
      </c>
      <c r="AT4" s="5">
        <f>AVERAGE(AT3:AZ3)</f>
        <v>421.28571428571428</v>
      </c>
      <c r="AU4" s="5">
        <f>AVERAGE(AU3:AZ3)</f>
        <v>420.83333333333331</v>
      </c>
      <c r="AV4" s="5">
        <f>AVERAGE(AV3:AZ3)</f>
        <v>420.2</v>
      </c>
      <c r="AW4" s="5">
        <f>AVERAGE(AW3:AZ3)</f>
        <v>420.25</v>
      </c>
      <c r="AX4" s="5">
        <f>AVERAGE(AX3:AZ3)</f>
        <v>420.33333333333331</v>
      </c>
      <c r="AY4" s="5">
        <f>AVERAGE(AY3:AZ3)</f>
        <v>419</v>
      </c>
      <c r="AZ4" s="5">
        <f>AVERAGE(AZ3:AZ3)</f>
        <v>421</v>
      </c>
      <c r="BA4" s="5">
        <f>AVERAGE(BA3:BK3)</f>
        <v>442.54545454545456</v>
      </c>
      <c r="BB4" s="5">
        <f>AVERAGE(BB3:BK3)</f>
        <v>441.7</v>
      </c>
      <c r="BC4" s="5">
        <f>AVERAGE(BC3:BK3)</f>
        <v>441.22222222222223</v>
      </c>
      <c r="BD4" s="5">
        <f>AVERAGE(BD3:BK3)</f>
        <v>441.25</v>
      </c>
      <c r="BE4" s="5">
        <f>AVERAGE(BE3:BK3)</f>
        <v>441.57142857142856</v>
      </c>
      <c r="BF4" s="5">
        <f>AVERAGE(BF3:BK3)</f>
        <v>443.33333333333331</v>
      </c>
      <c r="BG4" s="5">
        <f>AVERAGE(BG3:BK3)</f>
        <v>444</v>
      </c>
      <c r="BH4" s="5">
        <f>AVERAGE(BH3:BK3)</f>
        <v>443.75</v>
      </c>
      <c r="BI4" s="5">
        <f>AVERAGE(BI3:BK3)</f>
        <v>444.66666666666669</v>
      </c>
      <c r="BJ4" s="5">
        <f>AVERAGE(BJ3:BK3)</f>
        <v>445</v>
      </c>
      <c r="BK4" s="5">
        <f>+BK3</f>
        <v>449</v>
      </c>
      <c r="BL4" s="5">
        <f>AVERAGE(BM3:BW3)</f>
        <v>432.36363636363637</v>
      </c>
      <c r="BM4" s="5">
        <f>AVERAGE(BM3:BW3)</f>
        <v>432.36363636363637</v>
      </c>
      <c r="BN4" s="5">
        <f>AVERAGE(BN3:BW3)</f>
        <v>431.8</v>
      </c>
      <c r="BO4" s="5">
        <f>AVERAGE(BO3:BW3)</f>
        <v>431.22222222222223</v>
      </c>
      <c r="BP4" s="5">
        <f>AVERAGE(BP3:BW3)</f>
        <v>430.75</v>
      </c>
      <c r="BQ4" s="5">
        <f>AVERAGE(BQ3:BW3)</f>
        <v>430.42857142857144</v>
      </c>
      <c r="BR4" s="5">
        <f>AVERAGE(BR3:BW3)</f>
        <v>430.16666666666669</v>
      </c>
      <c r="BS4" s="5">
        <f>AVERAGE(BS3:BW3)</f>
        <v>430.2</v>
      </c>
      <c r="BT4" s="5">
        <f>AVERAGE(BT3:BW3)</f>
        <v>430.75</v>
      </c>
      <c r="BU4" s="5">
        <f>AVERAGE(BU3:BV3)</f>
        <v>427</v>
      </c>
      <c r="BV4" s="5">
        <f>AVERAGE(BV3:BW3)</f>
        <v>433.5</v>
      </c>
      <c r="BW4">
        <f>+BW3</f>
        <v>439</v>
      </c>
    </row>
    <row r="5" spans="1:80">
      <c r="A5" t="s">
        <v>18</v>
      </c>
      <c r="D5" t="s">
        <v>19</v>
      </c>
      <c r="E5">
        <v>363</v>
      </c>
      <c r="F5">
        <v>363</v>
      </c>
      <c r="G5">
        <v>363</v>
      </c>
      <c r="H5">
        <v>363</v>
      </c>
      <c r="I5">
        <v>363</v>
      </c>
      <c r="J5">
        <v>363</v>
      </c>
      <c r="K5">
        <v>363</v>
      </c>
      <c r="L5">
        <v>363</v>
      </c>
      <c r="M5">
        <v>363</v>
      </c>
      <c r="N5">
        <v>363</v>
      </c>
      <c r="O5">
        <v>363</v>
      </c>
      <c r="P5">
        <v>363</v>
      </c>
      <c r="Q5">
        <v>415</v>
      </c>
      <c r="R5">
        <v>415</v>
      </c>
      <c r="S5">
        <v>415</v>
      </c>
      <c r="T5">
        <v>415</v>
      </c>
      <c r="U5">
        <v>415</v>
      </c>
      <c r="V5">
        <v>415</v>
      </c>
      <c r="W5">
        <v>415</v>
      </c>
      <c r="X5">
        <v>415</v>
      </c>
      <c r="Y5">
        <v>415</v>
      </c>
      <c r="Z5">
        <v>415</v>
      </c>
      <c r="AA5">
        <v>415</v>
      </c>
      <c r="AB5">
        <v>415</v>
      </c>
      <c r="AC5">
        <v>415</v>
      </c>
      <c r="AD5">
        <v>415</v>
      </c>
      <c r="AE5">
        <v>415</v>
      </c>
      <c r="AF5">
        <v>415</v>
      </c>
      <c r="AG5">
        <v>415</v>
      </c>
      <c r="AH5">
        <v>415</v>
      </c>
      <c r="AI5">
        <v>415</v>
      </c>
      <c r="AJ5">
        <v>415</v>
      </c>
      <c r="AK5">
        <v>415</v>
      </c>
      <c r="AL5">
        <v>415</v>
      </c>
      <c r="AM5">
        <v>415</v>
      </c>
      <c r="AN5">
        <v>415</v>
      </c>
      <c r="AO5">
        <v>445</v>
      </c>
      <c r="AP5">
        <v>445</v>
      </c>
      <c r="AQ5">
        <v>445</v>
      </c>
      <c r="AR5">
        <v>445</v>
      </c>
      <c r="AS5">
        <v>445</v>
      </c>
      <c r="AT5">
        <v>445</v>
      </c>
      <c r="AU5">
        <v>445</v>
      </c>
      <c r="AV5">
        <v>445</v>
      </c>
      <c r="AW5">
        <v>445</v>
      </c>
      <c r="AX5">
        <v>445</v>
      </c>
      <c r="AY5">
        <v>445</v>
      </c>
      <c r="AZ5">
        <v>445</v>
      </c>
      <c r="BA5">
        <v>461</v>
      </c>
      <c r="BB5">
        <v>461</v>
      </c>
      <c r="BC5">
        <v>461</v>
      </c>
      <c r="BD5">
        <v>461</v>
      </c>
      <c r="BE5">
        <v>461</v>
      </c>
      <c r="BF5">
        <v>461</v>
      </c>
      <c r="BG5">
        <v>461</v>
      </c>
      <c r="BH5">
        <v>461</v>
      </c>
      <c r="BI5">
        <v>461</v>
      </c>
      <c r="BJ5">
        <v>461</v>
      </c>
      <c r="BK5">
        <v>461</v>
      </c>
      <c r="BL5">
        <v>460</v>
      </c>
      <c r="BM5">
        <v>460</v>
      </c>
      <c r="BN5">
        <v>460</v>
      </c>
      <c r="BO5">
        <v>460</v>
      </c>
      <c r="BP5">
        <v>460</v>
      </c>
      <c r="BQ5">
        <v>460</v>
      </c>
      <c r="BR5">
        <v>460</v>
      </c>
      <c r="BS5">
        <v>460</v>
      </c>
      <c r="BT5">
        <v>460</v>
      </c>
      <c r="BU5">
        <v>460</v>
      </c>
      <c r="BV5">
        <v>460</v>
      </c>
      <c r="BW5">
        <v>460</v>
      </c>
    </row>
    <row r="6" spans="1:80">
      <c r="A6" t="s">
        <v>20</v>
      </c>
      <c r="D6" t="s">
        <v>21</v>
      </c>
      <c r="E6" s="5">
        <f>+E4-E5</f>
        <v>-26.142857142857167</v>
      </c>
      <c r="F6" s="5">
        <f>+F4-F5</f>
        <v>-28.714285714285722</v>
      </c>
      <c r="G6" s="5">
        <f>+G4-G5</f>
        <v>-30.285714285714278</v>
      </c>
      <c r="H6" s="5">
        <f>+H4-H5</f>
        <v>-32</v>
      </c>
      <c r="I6" s="5">
        <f>+I4-I5</f>
        <v>-32.571428571428555</v>
      </c>
      <c r="J6" s="5">
        <f>+J4-J5</f>
        <v>-31.571428571428555</v>
      </c>
      <c r="K6" s="5">
        <f>+K4-K5</f>
        <v>-32</v>
      </c>
      <c r="L6" s="5">
        <f t="shared" ref="L6" si="0">+L4-L5</f>
        <v>-30.399999999999977</v>
      </c>
      <c r="M6" s="5">
        <f t="shared" ref="M6:N6" si="1">+M4-M5</f>
        <v>-29.25</v>
      </c>
      <c r="N6" s="5">
        <f t="shared" si="1"/>
        <v>-26.666666666666686</v>
      </c>
      <c r="O6" s="5">
        <f t="shared" ref="O6:P6" si="2">+O4-O5</f>
        <v>-22.5</v>
      </c>
      <c r="P6" s="5">
        <f t="shared" si="2"/>
        <v>-14</v>
      </c>
      <c r="Q6" s="5">
        <f t="shared" ref="Q6:BW6" si="3">+Q4-Q5</f>
        <v>-39.583333333333314</v>
      </c>
      <c r="R6" s="5">
        <f t="shared" si="3"/>
        <v>-38.181818181818187</v>
      </c>
      <c r="S6" s="5">
        <f t="shared" si="3"/>
        <v>-36.5</v>
      </c>
      <c r="T6" s="5">
        <f t="shared" si="3"/>
        <v>-34.777777777777771</v>
      </c>
      <c r="U6" s="5">
        <f t="shared" si="3"/>
        <v>-33.625</v>
      </c>
      <c r="V6" s="5">
        <f t="shared" si="3"/>
        <v>-33.142857142857167</v>
      </c>
      <c r="W6" s="5">
        <f t="shared" si="3"/>
        <v>-31.833333333333314</v>
      </c>
      <c r="X6" s="5">
        <f t="shared" si="3"/>
        <v>-30.199999999999989</v>
      </c>
      <c r="Y6" s="5">
        <f t="shared" si="3"/>
        <v>-28</v>
      </c>
      <c r="Z6" s="5">
        <f t="shared" si="3"/>
        <v>-26.666666666666686</v>
      </c>
      <c r="AA6" s="5">
        <f t="shared" si="3"/>
        <v>-26</v>
      </c>
      <c r="AB6" s="5">
        <f t="shared" si="3"/>
        <v>-23</v>
      </c>
      <c r="AC6" s="5">
        <f t="shared" si="3"/>
        <v>-18.666666666666686</v>
      </c>
      <c r="AD6" s="5">
        <f t="shared" si="3"/>
        <v>-19.454545454545439</v>
      </c>
      <c r="AE6" s="5">
        <f t="shared" si="3"/>
        <v>-20.600000000000023</v>
      </c>
      <c r="AF6" s="5">
        <f t="shared" si="3"/>
        <v>-21.111111111111086</v>
      </c>
      <c r="AG6" s="5">
        <f t="shared" si="3"/>
        <v>-21.375</v>
      </c>
      <c r="AH6" s="5">
        <f t="shared" si="3"/>
        <v>-21.714285714285722</v>
      </c>
      <c r="AI6" s="5">
        <f t="shared" si="3"/>
        <v>-22.333333333333314</v>
      </c>
      <c r="AJ6" s="5">
        <f t="shared" si="3"/>
        <v>-23.800000000000011</v>
      </c>
      <c r="AK6" s="5">
        <f t="shared" si="3"/>
        <v>-24.75</v>
      </c>
      <c r="AL6" s="5">
        <f t="shared" si="3"/>
        <v>-23.666666666666686</v>
      </c>
      <c r="AM6" s="5">
        <f t="shared" si="3"/>
        <v>-20.5</v>
      </c>
      <c r="AN6" s="5">
        <f t="shared" si="3"/>
        <v>-18</v>
      </c>
      <c r="AO6" s="5">
        <f t="shared" si="3"/>
        <v>-24.333333333333314</v>
      </c>
      <c r="AP6" s="5">
        <f t="shared" si="3"/>
        <v>-24.090909090909065</v>
      </c>
      <c r="AQ6" s="5">
        <f t="shared" si="3"/>
        <v>-23.699999999999989</v>
      </c>
      <c r="AR6" s="5">
        <f t="shared" si="3"/>
        <v>-23.666666666666686</v>
      </c>
      <c r="AS6" s="5">
        <f t="shared" si="3"/>
        <v>-24.25</v>
      </c>
      <c r="AT6" s="5">
        <f t="shared" si="3"/>
        <v>-23.714285714285722</v>
      </c>
      <c r="AU6" s="5">
        <f t="shared" si="3"/>
        <v>-24.166666666666686</v>
      </c>
      <c r="AV6" s="5">
        <f t="shared" si="3"/>
        <v>-24.800000000000011</v>
      </c>
      <c r="AW6" s="5">
        <f t="shared" si="3"/>
        <v>-24.75</v>
      </c>
      <c r="AX6" s="5">
        <f t="shared" si="3"/>
        <v>-24.666666666666686</v>
      </c>
      <c r="AY6" s="5">
        <f t="shared" si="3"/>
        <v>-26</v>
      </c>
      <c r="AZ6" s="5">
        <f t="shared" si="3"/>
        <v>-24</v>
      </c>
      <c r="BA6" s="5">
        <f t="shared" si="3"/>
        <v>-18.454545454545439</v>
      </c>
      <c r="BB6" s="5">
        <f t="shared" si="3"/>
        <v>-19.300000000000011</v>
      </c>
      <c r="BC6" s="5">
        <f t="shared" si="3"/>
        <v>-19.777777777777771</v>
      </c>
      <c r="BD6" s="5">
        <f t="shared" si="3"/>
        <v>-19.75</v>
      </c>
      <c r="BE6" s="5">
        <f t="shared" si="3"/>
        <v>-19.428571428571445</v>
      </c>
      <c r="BF6" s="5">
        <f t="shared" si="3"/>
        <v>-17.666666666666686</v>
      </c>
      <c r="BG6" s="5">
        <f t="shared" si="3"/>
        <v>-17</v>
      </c>
      <c r="BH6" s="5">
        <f t="shared" si="3"/>
        <v>-17.25</v>
      </c>
      <c r="BI6" s="5">
        <f t="shared" si="3"/>
        <v>-16.333333333333314</v>
      </c>
      <c r="BJ6" s="5">
        <f t="shared" si="3"/>
        <v>-16</v>
      </c>
      <c r="BK6" s="5">
        <f t="shared" si="3"/>
        <v>-12</v>
      </c>
      <c r="BL6" s="5">
        <f t="shared" si="3"/>
        <v>-27.636363636363626</v>
      </c>
      <c r="BM6" s="5">
        <f t="shared" si="3"/>
        <v>-27.636363636363626</v>
      </c>
      <c r="BN6" s="5">
        <f t="shared" si="3"/>
        <v>-28.199999999999989</v>
      </c>
      <c r="BO6" s="5">
        <f t="shared" si="3"/>
        <v>-28.777777777777771</v>
      </c>
      <c r="BP6" s="5">
        <f t="shared" si="3"/>
        <v>-29.25</v>
      </c>
      <c r="BQ6" s="5">
        <f t="shared" si="3"/>
        <v>-29.571428571428555</v>
      </c>
      <c r="BR6" s="5">
        <f t="shared" si="3"/>
        <v>-29.833333333333314</v>
      </c>
      <c r="BS6" s="5">
        <f t="shared" si="3"/>
        <v>-29.800000000000011</v>
      </c>
      <c r="BT6" s="5">
        <f t="shared" si="3"/>
        <v>-29.25</v>
      </c>
      <c r="BU6" s="5">
        <f t="shared" si="3"/>
        <v>-33</v>
      </c>
      <c r="BV6" s="5">
        <f t="shared" si="3"/>
        <v>-26.5</v>
      </c>
      <c r="BW6" s="5">
        <f t="shared" si="3"/>
        <v>-21</v>
      </c>
    </row>
    <row r="7" spans="1:80">
      <c r="A7" t="s">
        <v>22</v>
      </c>
      <c r="D7" t="s">
        <v>23</v>
      </c>
      <c r="E7" s="7">
        <f t="shared" ref="E7:F7" si="4">+E6*192</f>
        <v>-5019.4285714285761</v>
      </c>
      <c r="F7" s="7">
        <f t="shared" si="4"/>
        <v>-5513.1428571428587</v>
      </c>
      <c r="G7" s="7">
        <f t="shared" ref="G7:H7" si="5">+G6*192</f>
        <v>-5814.8571428571413</v>
      </c>
      <c r="H7" s="7">
        <f t="shared" si="5"/>
        <v>-6144</v>
      </c>
      <c r="I7" s="7">
        <f t="shared" ref="I7:J7" si="6">+I6*192</f>
        <v>-6253.7142857142826</v>
      </c>
      <c r="J7" s="7">
        <f t="shared" si="6"/>
        <v>-6061.7142857142826</v>
      </c>
      <c r="K7" s="7">
        <f t="shared" ref="K7:L7" si="7">+K6*192</f>
        <v>-6144</v>
      </c>
      <c r="L7" s="7">
        <f t="shared" si="7"/>
        <v>-5836.7999999999956</v>
      </c>
      <c r="M7" s="7">
        <f t="shared" ref="M7:N7" si="8">+M6*192</f>
        <v>-5616</v>
      </c>
      <c r="N7" s="7">
        <f t="shared" si="8"/>
        <v>-5120.0000000000036</v>
      </c>
      <c r="O7" s="7">
        <f t="shared" ref="O7:P7" si="9">+O6*192</f>
        <v>-4320</v>
      </c>
      <c r="P7" s="7">
        <f t="shared" si="9"/>
        <v>-2688</v>
      </c>
      <c r="Q7" s="7">
        <f t="shared" ref="Q7:AB7" si="10">+Q6*192</f>
        <v>-7599.9999999999964</v>
      </c>
      <c r="R7" s="7">
        <f t="shared" si="10"/>
        <v>-7330.9090909090919</v>
      </c>
      <c r="S7" s="7">
        <f t="shared" si="10"/>
        <v>-7008</v>
      </c>
      <c r="T7" s="7">
        <f t="shared" si="10"/>
        <v>-6677.3333333333321</v>
      </c>
      <c r="U7" s="7">
        <f t="shared" si="10"/>
        <v>-6456</v>
      </c>
      <c r="V7" s="7">
        <f t="shared" si="10"/>
        <v>-6363.4285714285761</v>
      </c>
      <c r="W7" s="7">
        <f t="shared" si="10"/>
        <v>-6111.9999999999964</v>
      </c>
      <c r="X7" s="7">
        <f t="shared" si="10"/>
        <v>-5798.3999999999978</v>
      </c>
      <c r="Y7" s="7">
        <f t="shared" si="10"/>
        <v>-5376</v>
      </c>
      <c r="Z7" s="7">
        <f t="shared" si="10"/>
        <v>-5120.0000000000036</v>
      </c>
      <c r="AA7" s="7">
        <f t="shared" si="10"/>
        <v>-4992</v>
      </c>
      <c r="AB7" s="7">
        <f t="shared" si="10"/>
        <v>-4416</v>
      </c>
      <c r="AC7" s="7">
        <f t="shared" ref="AC7:BW7" si="11">+AC6*168</f>
        <v>-3136.0000000000032</v>
      </c>
      <c r="AD7" s="7">
        <f t="shared" si="11"/>
        <v>-3268.3636363636338</v>
      </c>
      <c r="AE7" s="7">
        <f t="shared" si="11"/>
        <v>-3460.8000000000038</v>
      </c>
      <c r="AF7" s="7">
        <f t="shared" si="11"/>
        <v>-3546.6666666666624</v>
      </c>
      <c r="AG7" s="7">
        <f t="shared" si="11"/>
        <v>-3591</v>
      </c>
      <c r="AH7" s="7">
        <f t="shared" si="11"/>
        <v>-3648.0000000000014</v>
      </c>
      <c r="AI7" s="7">
        <f t="shared" si="11"/>
        <v>-3751.9999999999968</v>
      </c>
      <c r="AJ7" s="7">
        <f t="shared" si="11"/>
        <v>-3998.4000000000019</v>
      </c>
      <c r="AK7" s="7">
        <f t="shared" si="11"/>
        <v>-4158</v>
      </c>
      <c r="AL7" s="7">
        <f t="shared" si="11"/>
        <v>-3976.0000000000032</v>
      </c>
      <c r="AM7" s="7">
        <f t="shared" si="11"/>
        <v>-3444</v>
      </c>
      <c r="AN7" s="7">
        <f t="shared" si="11"/>
        <v>-3024</v>
      </c>
      <c r="AO7" s="7">
        <f t="shared" si="11"/>
        <v>-4087.9999999999968</v>
      </c>
      <c r="AP7" s="7">
        <f t="shared" si="11"/>
        <v>-4047.2727272727229</v>
      </c>
      <c r="AQ7" s="7">
        <f t="shared" si="11"/>
        <v>-3981.5999999999981</v>
      </c>
      <c r="AR7" s="7">
        <f t="shared" si="11"/>
        <v>-3976.0000000000032</v>
      </c>
      <c r="AS7" s="7">
        <f t="shared" si="11"/>
        <v>-4074</v>
      </c>
      <c r="AT7" s="7">
        <f t="shared" si="11"/>
        <v>-3984.0000000000014</v>
      </c>
      <c r="AU7" s="7">
        <f t="shared" si="11"/>
        <v>-4060.0000000000032</v>
      </c>
      <c r="AV7" s="7">
        <f t="shared" si="11"/>
        <v>-4166.4000000000015</v>
      </c>
      <c r="AW7" s="7">
        <f t="shared" si="11"/>
        <v>-4158</v>
      </c>
      <c r="AX7" s="7">
        <f t="shared" si="11"/>
        <v>-4144.0000000000036</v>
      </c>
      <c r="AY7" s="7">
        <f t="shared" si="11"/>
        <v>-4368</v>
      </c>
      <c r="AZ7" s="7">
        <f t="shared" si="11"/>
        <v>-4032</v>
      </c>
      <c r="BA7" s="7">
        <f t="shared" si="11"/>
        <v>-3100.3636363636338</v>
      </c>
      <c r="BB7" s="7">
        <f t="shared" si="11"/>
        <v>-3242.4000000000019</v>
      </c>
      <c r="BC7" s="7">
        <f t="shared" si="11"/>
        <v>-3322.6666666666656</v>
      </c>
      <c r="BD7" s="7">
        <f t="shared" si="11"/>
        <v>-3318</v>
      </c>
      <c r="BE7" s="7">
        <f t="shared" si="11"/>
        <v>-3264.0000000000027</v>
      </c>
      <c r="BF7" s="7">
        <f t="shared" si="11"/>
        <v>-2968.0000000000032</v>
      </c>
      <c r="BG7" s="7">
        <f t="shared" si="11"/>
        <v>-2856</v>
      </c>
      <c r="BH7" s="7">
        <f t="shared" si="11"/>
        <v>-2898</v>
      </c>
      <c r="BI7" s="7">
        <f t="shared" si="11"/>
        <v>-2743.9999999999968</v>
      </c>
      <c r="BJ7" s="7">
        <f t="shared" si="11"/>
        <v>-2688</v>
      </c>
      <c r="BK7" s="7">
        <f t="shared" si="11"/>
        <v>-2016</v>
      </c>
      <c r="BL7" s="7">
        <f t="shared" si="11"/>
        <v>-4642.9090909090892</v>
      </c>
      <c r="BM7" s="7">
        <f t="shared" si="11"/>
        <v>-4642.9090909090892</v>
      </c>
      <c r="BN7" s="7">
        <f t="shared" si="11"/>
        <v>-4737.5999999999985</v>
      </c>
      <c r="BO7" s="7">
        <f t="shared" si="11"/>
        <v>-4834.6666666666661</v>
      </c>
      <c r="BP7" s="7">
        <f t="shared" si="11"/>
        <v>-4914</v>
      </c>
      <c r="BQ7" s="7">
        <f t="shared" si="11"/>
        <v>-4967.9999999999973</v>
      </c>
      <c r="BR7" s="7">
        <f t="shared" si="11"/>
        <v>-5011.9999999999964</v>
      </c>
      <c r="BS7" s="7">
        <f t="shared" si="11"/>
        <v>-5006.4000000000015</v>
      </c>
      <c r="BT7" s="7">
        <f t="shared" si="11"/>
        <v>-4914</v>
      </c>
      <c r="BU7" s="7">
        <f t="shared" si="11"/>
        <v>-5544</v>
      </c>
      <c r="BV7" s="7">
        <f t="shared" si="11"/>
        <v>-4452</v>
      </c>
      <c r="BW7" s="7">
        <f t="shared" si="11"/>
        <v>-3528</v>
      </c>
    </row>
    <row r="9" spans="1:80">
      <c r="A9" s="25" t="s">
        <v>24</v>
      </c>
      <c r="D9" t="s">
        <v>25</v>
      </c>
      <c r="E9" s="23">
        <f>138799.03-64867.67-21912.5-17986</f>
        <v>34032.86</v>
      </c>
      <c r="F9" s="23">
        <f>133534.81-64755.67-21537.5-16564</f>
        <v>30677.64</v>
      </c>
      <c r="G9" s="23">
        <f>126103.4-64323.67-21412.5-11643</f>
        <v>28724.229999999996</v>
      </c>
      <c r="H9" s="23">
        <f>118942.92-63907.67-21262.5-10851</f>
        <v>22921.75</v>
      </c>
      <c r="I9" s="23">
        <f>112645.56-63250.17-21062.5-10851</f>
        <v>17481.89</v>
      </c>
      <c r="J9" s="23">
        <f>105714.78-61650.17-20562.5-10851</f>
        <v>12651.11</v>
      </c>
      <c r="K9" s="13">
        <f>(101207.39-59922.17-20000-10851)</f>
        <v>10434.220000000001</v>
      </c>
      <c r="L9" s="13">
        <f>(96736.21-58194.17-18837.5-10851)</f>
        <v>8853.5400000000081</v>
      </c>
      <c r="M9" s="13">
        <f>(90616.76-55874.17-18237.5 -9511)</f>
        <v>6994.0899999999965</v>
      </c>
      <c r="N9" s="13">
        <f>(85270.86-52956.17-17575-9298)</f>
        <v>5441.6900000000023</v>
      </c>
      <c r="O9" s="13">
        <f>(78275.58-49836.17-16250-8497)</f>
        <v>3692.4100000000035</v>
      </c>
      <c r="P9" s="13">
        <f>(67368.02-45912.67-14975-3559)</f>
        <v>2921.3500000000058</v>
      </c>
      <c r="Q9" s="13">
        <f>(137306.14-67877.92-20200-30214)</f>
        <v>19014.220000000016</v>
      </c>
      <c r="R9" s="13">
        <f>(136448.28-67877.92-20200-30114)</f>
        <v>18256.36</v>
      </c>
      <c r="S9" s="13">
        <f>(134507.89-67669.92-20125-30114)</f>
        <v>16598.970000000016</v>
      </c>
      <c r="T9" s="13">
        <f>(132419.84-67269.92-20000-30114)</f>
        <v>15035.919999999998</v>
      </c>
      <c r="U9" s="13">
        <f>(130087.57-66753.17-19687.5-30114)</f>
        <v>13532.900000000009</v>
      </c>
      <c r="V9" s="13">
        <f>(127052.36-65745.17-19381.63-30114)</f>
        <v>11811.559999999998</v>
      </c>
      <c r="W9" s="13">
        <f>(123915.64-30114-18875-64465.17)</f>
        <v>10461.470000000001</v>
      </c>
      <c r="X9" s="13">
        <f>(119400.68-30114-17675-62689.17)</f>
        <v>8922.5099999999948</v>
      </c>
      <c r="Y9" s="13">
        <f>(115089.98-30114-16637.5-60369.17)</f>
        <v>7969.3099999999977</v>
      </c>
      <c r="Z9" s="13">
        <f>(104401.99-24697-15950-57627.17)</f>
        <v>6127.820000000007</v>
      </c>
      <c r="AA9" s="13">
        <f>(77385.8-5317-14845.47-52892.33)</f>
        <v>4331</v>
      </c>
      <c r="AB9" s="13">
        <f>(62340.33-13675-46824.33)</f>
        <v>1841</v>
      </c>
      <c r="AC9" s="13">
        <f>(154801.49-68573.91-39133-19800)</f>
        <v>27294.579999999987</v>
      </c>
      <c r="AD9" s="13">
        <f>(153315.22-68538.91-39133-19950)</f>
        <v>25693.309999999998</v>
      </c>
      <c r="AE9" s="13">
        <f>(151296.12-68272.91-39133-19762.5)</f>
        <v>24127.709999999992</v>
      </c>
      <c r="AF9" s="13">
        <f>(147112.31-67824.91-39133-19550)</f>
        <v>20604.399999999994</v>
      </c>
      <c r="AG9" s="13">
        <f>(142407.77-39133-66893.91-19387.5)</f>
        <v>16993.359999999986</v>
      </c>
      <c r="AH9" s="13">
        <f>(139856.59-39133-66263.91-19062.5)</f>
        <v>15397.179999999993</v>
      </c>
      <c r="AI9" s="13">
        <f>(136007.43-39133-64842.16-18587.5)</f>
        <v>13444.76999999999</v>
      </c>
      <c r="AJ9" s="13">
        <f>(131771.28-63099-39133-17437.5)</f>
        <v>12101.779999999999</v>
      </c>
      <c r="AK9" s="13">
        <f>(125494.11-39091-60656.16-16737.5)</f>
        <v>9009.4499999999971</v>
      </c>
      <c r="AL9" s="13">
        <f>(111292.57-57086.5-15950-31766)</f>
        <v>6490.070000000007</v>
      </c>
      <c r="AM9" s="13">
        <f>(80242.26-8204-15400-52420.59)</f>
        <v>4217.6699999999983</v>
      </c>
      <c r="AN9" s="13">
        <f>(64009.71-13787.5-47447.59)</f>
        <v>2774.6200000000026</v>
      </c>
      <c r="AO9" s="16">
        <v>31472.04</v>
      </c>
      <c r="AP9" s="16">
        <v>30311.14</v>
      </c>
      <c r="AQ9" s="16">
        <v>28557.37</v>
      </c>
      <c r="AR9" s="16">
        <v>27103.56</v>
      </c>
      <c r="AS9" s="16">
        <v>24629.8</v>
      </c>
      <c r="AT9" s="1">
        <f>152288.03-70003.48-19432.5-39847</f>
        <v>23005.050000000003</v>
      </c>
      <c r="AU9" s="1">
        <f>147875.59-39847-68561.48-18545</f>
        <v>20922.11</v>
      </c>
      <c r="AV9" s="1">
        <f>137852.19-67063.48-17420-36040</f>
        <v>17328.710000000006</v>
      </c>
      <c r="AW9" s="1">
        <f>127375.56-29573-65297.23-17057.5</f>
        <v>15447.829999999994</v>
      </c>
      <c r="AX9" s="1">
        <f>100592.34-62570.56-16307.5-8244</f>
        <v>13470.279999999999</v>
      </c>
      <c r="AY9" s="1">
        <f>80791.57-56664.15-15745</f>
        <v>8382.4200000000055</v>
      </c>
      <c r="AZ9" s="1">
        <f>70654.5-14395-50670.65</f>
        <v>5588.8499999999985</v>
      </c>
      <c r="BA9" s="1">
        <f>186541.69-50742-73758.84-21200</f>
        <v>40840.850000000006</v>
      </c>
      <c r="BB9" s="1">
        <f>179593.44-50742-73555.84-21187.5</f>
        <v>34108.100000000006</v>
      </c>
      <c r="BC9" s="1">
        <f>168214.77-73037.84-21062.5-50742</f>
        <v>23372.429999999993</v>
      </c>
      <c r="BD9" s="1">
        <f>165275.02-50742-72421.84-20762.5</f>
        <v>21348.679999999993</v>
      </c>
      <c r="BE9" s="1">
        <f>161997.84-50677-20625-71189.84</f>
        <v>19506</v>
      </c>
      <c r="BF9" s="1">
        <f>158489.58-50677-69999.84-19787.5</f>
        <v>18025.239999999991</v>
      </c>
      <c r="BG9" s="1">
        <f>152773.52-18587.5-68899.94-49811</f>
        <v>15475.079999999987</v>
      </c>
      <c r="BH9" s="1">
        <f>142850.75-43480-66953.84-18050</f>
        <v>14366.910000000003</v>
      </c>
      <c r="BI9" s="1">
        <f>117858.96-25433-64007.84-17262.5</f>
        <v>11155.62000000001</v>
      </c>
      <c r="BJ9" s="1">
        <f>103380.46-19355-60530.17-16575</f>
        <v>6920.2900000000081</v>
      </c>
      <c r="BK9" s="1">
        <f>91409.49-17515-53484.25-14875</f>
        <v>5535.2400000000052</v>
      </c>
      <c r="CB9" t="s">
        <v>26</v>
      </c>
    </row>
    <row r="10" spans="1:80">
      <c r="A10" s="25" t="s">
        <v>27</v>
      </c>
      <c r="D10" t="s">
        <v>28</v>
      </c>
      <c r="E10" s="14">
        <f>(165901-74055-20000-46731)/12*12</f>
        <v>25115</v>
      </c>
      <c r="F10" s="14">
        <f>(165901-74055-20000-46731)/12*11</f>
        <v>23022.083333333332</v>
      </c>
      <c r="G10" s="14">
        <f>(165901-74055-20000-46731)/12*10</f>
        <v>20929.166666666664</v>
      </c>
      <c r="H10" s="14">
        <f>(165901-74055-20000-46731)/12*9</f>
        <v>18836.25</v>
      </c>
      <c r="I10" s="14">
        <f>(165901-74055-20000-46731)/12*8</f>
        <v>16743.333333333332</v>
      </c>
      <c r="J10" s="14">
        <f>(165901-74055-20000-46731)/12*7</f>
        <v>14650.416666666666</v>
      </c>
      <c r="K10" s="14">
        <f>(165901-74055-20000-46731)/12*6</f>
        <v>12557.5</v>
      </c>
      <c r="L10" s="14">
        <f>(165901-74055-20000-46731)/12*5</f>
        <v>10464.583333333332</v>
      </c>
      <c r="M10" s="14">
        <f>(165901-74055-20000-46731)/12*4</f>
        <v>8371.6666666666661</v>
      </c>
      <c r="N10" s="14">
        <f>(165901-74055-20000-46731)/12*3</f>
        <v>6278.75</v>
      </c>
      <c r="O10" s="14">
        <f>(165901-74055-20000-46731)/12*2</f>
        <v>4185.833333333333</v>
      </c>
      <c r="P10" s="14">
        <f>(165901-74055-20000-46731)/12*1</f>
        <v>2092.9166666666665</v>
      </c>
      <c r="Q10" s="14">
        <f>(173742-84165-20000-44486)/12*12</f>
        <v>25091</v>
      </c>
      <c r="R10" s="14">
        <f>(173742-84165-20000-44486)/12*11</f>
        <v>23000.083333333332</v>
      </c>
      <c r="S10" s="14">
        <f>(173742-84165-20000-44486)/12*10</f>
        <v>20909.166666666664</v>
      </c>
      <c r="T10" s="14">
        <f>(173742-84165-20000-44486)/12*9</f>
        <v>18818.25</v>
      </c>
      <c r="U10" s="14">
        <f>(173742-84165-20000-44486)/12*8</f>
        <v>16727.333333333332</v>
      </c>
      <c r="V10" s="14">
        <f>(173742-84165-20000-44486)/12*7</f>
        <v>14636.416666666666</v>
      </c>
      <c r="W10" s="14">
        <f>(173742-84165-20000-44486)/12*6</f>
        <v>12545.5</v>
      </c>
      <c r="X10" s="14">
        <f>(173742-84165-20000-44486)/12*5</f>
        <v>10454.583333333332</v>
      </c>
      <c r="Y10" s="14">
        <f>(173742-84165-20000-44486)/12*4</f>
        <v>8363.6666666666661</v>
      </c>
      <c r="Z10" s="14">
        <f>(173742-84165-20000-44486)/12*3</f>
        <v>6272.75</v>
      </c>
      <c r="AA10" s="14">
        <f>(173742-84165-20000-44486)/12*2</f>
        <v>4181.833333333333</v>
      </c>
      <c r="AB10" s="14">
        <f>(173742-84165-20000-44486)/12*1</f>
        <v>2090.9166666666665</v>
      </c>
      <c r="AC10" s="14">
        <f>(161708-73902-42162-20000)/12*12</f>
        <v>25644</v>
      </c>
      <c r="AD10" s="14">
        <f>(161708-73902-42162-20000)/12*11</f>
        <v>23507</v>
      </c>
      <c r="AE10" s="14">
        <f>(161708-73902-42162-20000)/12*10</f>
        <v>21370</v>
      </c>
      <c r="AF10" s="14">
        <f>(161708-73902-42162-20000)/12*9</f>
        <v>19233</v>
      </c>
      <c r="AG10" s="14">
        <f>(161708-73902-42162-20000)/12*8</f>
        <v>17096</v>
      </c>
      <c r="AH10" s="14">
        <f>(161708-73902-42162-20000)/12*7</f>
        <v>14959</v>
      </c>
      <c r="AI10" s="14">
        <f>(161708-73902-42162-20000)/12*6</f>
        <v>12822</v>
      </c>
      <c r="AJ10" s="14">
        <f>(161708-73902-42162-20000)/12*5</f>
        <v>10685</v>
      </c>
      <c r="AK10" s="14">
        <f>(161708-73902-42162-20000)/12*4</f>
        <v>8548</v>
      </c>
      <c r="AL10" s="14">
        <f>(161708-73902-42162-20000)/12*3</f>
        <v>6411</v>
      </c>
      <c r="AM10" s="14">
        <f>(161708-73902-42162-20000)/12*2</f>
        <v>4274</v>
      </c>
      <c r="AN10" s="14">
        <f>(161708-73902-42162-20000)/12*1</f>
        <v>2137</v>
      </c>
      <c r="AO10" s="15">
        <f>(174743-45101-78942-20000)/12*12</f>
        <v>30700</v>
      </c>
      <c r="AP10" s="15">
        <f>(174743-45101-78942-20000)/12*11</f>
        <v>28141.666666666668</v>
      </c>
      <c r="AQ10" s="15">
        <f>(174743-45101-78942-20000)/12*10</f>
        <v>25583.333333333336</v>
      </c>
      <c r="AR10" s="15">
        <f>(174743-45101-78942-20000)/12*9</f>
        <v>23025</v>
      </c>
      <c r="AS10" s="15">
        <f>(174743-45101-78942-20000)/12*8</f>
        <v>20466.666666666668</v>
      </c>
      <c r="AT10" s="1">
        <f>(174743-45101-78942-20000)/12*7</f>
        <v>17908.333333333336</v>
      </c>
      <c r="AU10" s="1">
        <f>(174743-45101-78942-20000)/12*6</f>
        <v>15350</v>
      </c>
      <c r="AV10" s="1">
        <f>(174743-45101-78942-20000)/12*5</f>
        <v>12791.666666666668</v>
      </c>
      <c r="AW10" s="1">
        <f>(174743-45101-78942-20000)/12*4</f>
        <v>10233.333333333334</v>
      </c>
      <c r="AX10" s="1">
        <f>(174743-45101-78942-20000)/12*3</f>
        <v>7675</v>
      </c>
      <c r="AY10" s="1">
        <f>(174743-45101-78942-20000)/12*2</f>
        <v>5116.666666666667</v>
      </c>
      <c r="AZ10" s="1">
        <f>(174743-45101-78942-20000)/12</f>
        <v>2558.3333333333335</v>
      </c>
      <c r="BA10" s="1">
        <f>(58217-18000)/12*11</f>
        <v>36865.583333333328</v>
      </c>
      <c r="BB10" s="1">
        <f>(58217-18000)/12*10</f>
        <v>33514.166666666664</v>
      </c>
      <c r="BC10" s="1">
        <f>(58217-18000)/12*9</f>
        <v>30162.75</v>
      </c>
      <c r="BD10" s="1">
        <f>(58217-18000)/12*8</f>
        <v>26811.333333333332</v>
      </c>
      <c r="BE10" s="1">
        <f>(58217-18000)/12*7</f>
        <v>23459.916666666664</v>
      </c>
      <c r="BF10" s="1">
        <f>(58217-18000)/12*6</f>
        <v>20108.5</v>
      </c>
      <c r="BG10" s="1">
        <f>(58217-18000)/12*5</f>
        <v>16757.083333333332</v>
      </c>
      <c r="BH10" s="1">
        <f>(58217-18000)/12*4</f>
        <v>13405.666666666666</v>
      </c>
      <c r="BI10" s="1">
        <f>(58217-18000)/12*3</f>
        <v>10054.25</v>
      </c>
      <c r="BJ10" s="1">
        <f>(58217-18000)/12*2</f>
        <v>6702.833333333333</v>
      </c>
      <c r="BK10" s="1">
        <f>(58217-18000)/12</f>
        <v>3351.4166666666665</v>
      </c>
    </row>
    <row r="11" spans="1:80">
      <c r="D11" t="s">
        <v>29</v>
      </c>
      <c r="E11" s="7">
        <f t="shared" ref="E11:F11" si="12">+E9-E10</f>
        <v>8917.86</v>
      </c>
      <c r="F11" s="7">
        <f t="shared" si="12"/>
        <v>7655.5566666666673</v>
      </c>
      <c r="G11" s="7">
        <f t="shared" ref="G11:H11" si="13">+G9-G10</f>
        <v>7795.0633333333317</v>
      </c>
      <c r="H11" s="7">
        <f t="shared" si="13"/>
        <v>4085.5</v>
      </c>
      <c r="I11" s="7">
        <f t="shared" ref="I11:J11" si="14">+I9-I10</f>
        <v>738.5566666666673</v>
      </c>
      <c r="J11" s="7">
        <f t="shared" si="14"/>
        <v>-1999.3066666666655</v>
      </c>
      <c r="K11" s="7">
        <f t="shared" ref="K11:L11" si="15">+K9-K10</f>
        <v>-2123.2799999999988</v>
      </c>
      <c r="L11" s="7">
        <f t="shared" si="15"/>
        <v>-1611.043333333324</v>
      </c>
      <c r="M11" s="7">
        <f t="shared" ref="M11:N11" si="16">+M9-M10</f>
        <v>-1377.5766666666696</v>
      </c>
      <c r="N11" s="7">
        <f t="shared" si="16"/>
        <v>-837.05999999999767</v>
      </c>
      <c r="O11" s="7">
        <f t="shared" ref="O11:P11" si="17">+O9-O10</f>
        <v>-493.42333333332954</v>
      </c>
      <c r="P11" s="7">
        <f t="shared" si="17"/>
        <v>828.43333333333931</v>
      </c>
      <c r="Q11" s="7">
        <f t="shared" ref="Q11:BK11" si="18">+Q9-Q10</f>
        <v>-6076.7799999999843</v>
      </c>
      <c r="R11" s="7">
        <f t="shared" si="18"/>
        <v>-4743.7233333333315</v>
      </c>
      <c r="S11" s="7">
        <f t="shared" si="18"/>
        <v>-4310.1966666666485</v>
      </c>
      <c r="T11" s="7">
        <f t="shared" si="18"/>
        <v>-3782.3300000000017</v>
      </c>
      <c r="U11" s="7">
        <f t="shared" si="18"/>
        <v>-3194.4333333333234</v>
      </c>
      <c r="V11" s="7">
        <f t="shared" si="18"/>
        <v>-2824.8566666666684</v>
      </c>
      <c r="W11" s="7">
        <f t="shared" si="18"/>
        <v>-2084.0299999999988</v>
      </c>
      <c r="X11" s="7">
        <f t="shared" si="18"/>
        <v>-1532.0733333333374</v>
      </c>
      <c r="Y11" s="7">
        <f t="shared" si="18"/>
        <v>-394.35666666666839</v>
      </c>
      <c r="Z11" s="7">
        <f t="shared" si="18"/>
        <v>-144.92999999999302</v>
      </c>
      <c r="AA11" s="7">
        <f t="shared" si="18"/>
        <v>149.16666666666697</v>
      </c>
      <c r="AB11" s="7">
        <f t="shared" si="18"/>
        <v>-249.91666666666652</v>
      </c>
      <c r="AC11" s="7">
        <f t="shared" si="18"/>
        <v>1650.5799999999872</v>
      </c>
      <c r="AD11" s="7">
        <f t="shared" si="18"/>
        <v>2186.3099999999977</v>
      </c>
      <c r="AE11" s="7">
        <f t="shared" si="18"/>
        <v>2757.7099999999919</v>
      </c>
      <c r="AF11" s="7">
        <f t="shared" si="18"/>
        <v>1371.3999999999942</v>
      </c>
      <c r="AG11" s="7">
        <f t="shared" si="18"/>
        <v>-102.64000000001397</v>
      </c>
      <c r="AH11" s="7">
        <f t="shared" si="18"/>
        <v>438.17999999999302</v>
      </c>
      <c r="AI11" s="7">
        <f t="shared" si="18"/>
        <v>622.76999999998952</v>
      </c>
      <c r="AJ11" s="7">
        <f t="shared" si="18"/>
        <v>1416.7799999999988</v>
      </c>
      <c r="AK11" s="7">
        <f t="shared" si="18"/>
        <v>461.44999999999709</v>
      </c>
      <c r="AL11" s="7">
        <f t="shared" si="18"/>
        <v>79.070000000006985</v>
      </c>
      <c r="AM11" s="7">
        <f t="shared" si="18"/>
        <v>-56.330000000001746</v>
      </c>
      <c r="AN11" s="7">
        <f t="shared" si="18"/>
        <v>637.62000000000262</v>
      </c>
      <c r="AO11" s="7">
        <f t="shared" si="18"/>
        <v>772.04000000000087</v>
      </c>
      <c r="AP11" s="7">
        <f t="shared" si="18"/>
        <v>2169.4733333333315</v>
      </c>
      <c r="AQ11" s="7">
        <f t="shared" si="18"/>
        <v>2974.0366666666632</v>
      </c>
      <c r="AR11" s="7">
        <f t="shared" si="18"/>
        <v>4078.5600000000013</v>
      </c>
      <c r="AS11" s="7">
        <f t="shared" si="18"/>
        <v>4163.1333333333314</v>
      </c>
      <c r="AT11" s="7">
        <f t="shared" si="18"/>
        <v>5096.7166666666672</v>
      </c>
      <c r="AU11" s="7">
        <f t="shared" si="18"/>
        <v>5572.1100000000006</v>
      </c>
      <c r="AV11" s="7">
        <f t="shared" si="18"/>
        <v>4537.0433333333385</v>
      </c>
      <c r="AW11" s="7">
        <f t="shared" si="18"/>
        <v>5214.4966666666605</v>
      </c>
      <c r="AX11" s="7">
        <f t="shared" si="18"/>
        <v>5795.2799999999988</v>
      </c>
      <c r="AY11" s="7">
        <f t="shared" si="18"/>
        <v>3265.7533333333386</v>
      </c>
      <c r="AZ11" s="7">
        <f t="shared" si="18"/>
        <v>3030.5166666666651</v>
      </c>
      <c r="BA11" s="7">
        <f t="shared" si="18"/>
        <v>3975.2666666666773</v>
      </c>
      <c r="BB11" s="7">
        <f t="shared" si="18"/>
        <v>593.93333333334158</v>
      </c>
      <c r="BC11" s="7">
        <f t="shared" si="18"/>
        <v>-6790.320000000007</v>
      </c>
      <c r="BD11" s="7">
        <f t="shared" si="18"/>
        <v>-5462.6533333333391</v>
      </c>
      <c r="BE11" s="7">
        <f t="shared" si="18"/>
        <v>-3953.9166666666642</v>
      </c>
      <c r="BF11" s="7">
        <f t="shared" si="18"/>
        <v>-2083.2600000000093</v>
      </c>
      <c r="BG11" s="7">
        <f t="shared" si="18"/>
        <v>-1282.0033333333449</v>
      </c>
      <c r="BH11" s="7">
        <f t="shared" si="18"/>
        <v>961.24333333333743</v>
      </c>
      <c r="BI11" s="7">
        <f t="shared" si="18"/>
        <v>1101.3700000000099</v>
      </c>
      <c r="BJ11" s="7">
        <f t="shared" si="18"/>
        <v>217.45666666667512</v>
      </c>
      <c r="BK11" s="7">
        <f t="shared" si="18"/>
        <v>2183.8233333333387</v>
      </c>
    </row>
    <row r="12" spans="1:80"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80">
      <c r="A13" s="25" t="s">
        <v>30</v>
      </c>
      <c r="D13" t="s">
        <v>31</v>
      </c>
      <c r="E13" s="22">
        <f>123238.69-1297.46</f>
        <v>121941.23</v>
      </c>
      <c r="F13" s="22">
        <f>111121.5-978.17</f>
        <v>110143.33</v>
      </c>
      <c r="G13" s="22">
        <f>100976.77-959.48</f>
        <v>100017.29000000001</v>
      </c>
      <c r="H13" s="22">
        <f>90910.31-936.27</f>
        <v>89974.04</v>
      </c>
      <c r="I13" s="22">
        <f>78947.58-936.27</f>
        <v>78011.31</v>
      </c>
      <c r="J13" s="22">
        <f>70294.56-936.27</f>
        <v>69358.289999999994</v>
      </c>
      <c r="K13" s="14">
        <f>(58593.37-936.27)</f>
        <v>57657.100000000006</v>
      </c>
      <c r="L13" s="14">
        <f>(48997.75-873.18)</f>
        <v>48124.57</v>
      </c>
      <c r="M13" s="14">
        <f>(40021.33-869.18)</f>
        <v>39152.15</v>
      </c>
      <c r="N13" s="14">
        <f>(30611.09-697.96)</f>
        <v>29913.13</v>
      </c>
      <c r="O13" s="14">
        <f>(20217.68-697.96)</f>
        <v>19519.72</v>
      </c>
      <c r="P13" s="14">
        <f>(11012.82-697.96)</f>
        <v>10314.86</v>
      </c>
      <c r="Q13" s="14">
        <f>(150305.91-28054.87)</f>
        <v>122251.04000000001</v>
      </c>
      <c r="R13" s="14">
        <f>(138221.17-28054.87)</f>
        <v>110166.30000000002</v>
      </c>
      <c r="S13" s="14">
        <f>(128034.77-28054.87)</f>
        <v>99979.900000000009</v>
      </c>
      <c r="T13" s="14">
        <f>(118919.15-28054.87)</f>
        <v>90864.28</v>
      </c>
      <c r="U13" s="14">
        <f>(108842.82-28054.87)</f>
        <v>80787.950000000012</v>
      </c>
      <c r="V13" s="14">
        <f>(99979.98-28054.87)</f>
        <v>71925.11</v>
      </c>
      <c r="W13" s="14">
        <f>(86616.98-28054.87)</f>
        <v>58562.11</v>
      </c>
      <c r="X13" s="14">
        <f>(77238.59-27981.04)</f>
        <v>49257.549999999996</v>
      </c>
      <c r="Y13" s="14">
        <f>(51279.97-11709.7)</f>
        <v>39570.270000000004</v>
      </c>
      <c r="Z13" s="14">
        <f>(30585.44-1135.78)</f>
        <v>29449.66</v>
      </c>
      <c r="AA13" s="14">
        <f>(21028.39-150)</f>
        <v>20878.39</v>
      </c>
      <c r="AB13" s="14">
        <v>11098.15</v>
      </c>
      <c r="AC13" s="14">
        <f>(135067.49-23755.84)</f>
        <v>111311.65</v>
      </c>
      <c r="AD13" s="14">
        <f>(125182.71-23755.84)</f>
        <v>101426.87000000001</v>
      </c>
      <c r="AE13" s="14">
        <f>(116596.59-23755.84)</f>
        <v>92840.75</v>
      </c>
      <c r="AF13" s="14">
        <f>(106649.09-23755.84)</f>
        <v>82893.25</v>
      </c>
      <c r="AG13" s="14">
        <f>(96846.84-23755.84)</f>
        <v>73091</v>
      </c>
      <c r="AH13" s="14">
        <f>(88425.34-23755.84)</f>
        <v>64669.5</v>
      </c>
      <c r="AI13" s="14">
        <f>(77233.86-23755.84)</f>
        <v>53478.020000000004</v>
      </c>
      <c r="AJ13" s="14">
        <f>(53834.91-8057.02)</f>
        <v>45777.89</v>
      </c>
      <c r="AK13" s="14">
        <f>(44391.49-7344.94)</f>
        <v>37046.549999999996</v>
      </c>
      <c r="AL13" s="14">
        <f>(27338.65-1526.32)</f>
        <v>25812.33</v>
      </c>
      <c r="AM13" s="14">
        <f>(19258.71-1288.57)</f>
        <v>17970.14</v>
      </c>
      <c r="AN13" s="14">
        <f>(10649.99-506.65)</f>
        <v>10143.34</v>
      </c>
      <c r="AO13" s="9">
        <v>115540.4</v>
      </c>
      <c r="AP13" s="9">
        <v>104659.05</v>
      </c>
      <c r="AQ13" s="9">
        <v>95877.11</v>
      </c>
      <c r="AR13" s="9">
        <v>86530.68</v>
      </c>
      <c r="AS13" s="9">
        <v>78335.34</v>
      </c>
      <c r="AT13" s="1">
        <f>98543.87-28573.11</f>
        <v>69970.759999999995</v>
      </c>
      <c r="AU13" s="1">
        <f>68115.97-9005.62</f>
        <v>59110.35</v>
      </c>
      <c r="AV13" s="1">
        <f>51337.23-2013.16</f>
        <v>49324.07</v>
      </c>
      <c r="AW13" s="1">
        <f>41173.06-1105.92</f>
        <v>40067.14</v>
      </c>
      <c r="AX13" s="1">
        <f>31849.6-797.94</f>
        <v>31051.66</v>
      </c>
      <c r="AY13" s="1">
        <f>21770.23-197.94</f>
        <v>21572.29</v>
      </c>
      <c r="AZ13" s="1">
        <f>13700.23-197.94</f>
        <v>13502.289999999999</v>
      </c>
      <c r="BA13" s="1">
        <f>141771.38-37905.51</f>
        <v>103865.87</v>
      </c>
      <c r="BB13" s="1">
        <f>131940.21-37617.8</f>
        <v>94322.409999999989</v>
      </c>
      <c r="BC13" s="1">
        <f>123167.82-36987</f>
        <v>86180.82</v>
      </c>
      <c r="BD13" s="1">
        <f>115581.16-36987</f>
        <v>78594.16</v>
      </c>
      <c r="BE13" s="1">
        <f>100991.76-36987</f>
        <v>64004.759999999995</v>
      </c>
      <c r="BF13" s="1">
        <f>89873.8-35301.79</f>
        <v>54572.01</v>
      </c>
      <c r="BG13" s="1">
        <f>57686.79-10566.83</f>
        <v>47119.96</v>
      </c>
      <c r="BH13" s="1">
        <f>46573.23-7698.84</f>
        <v>38874.39</v>
      </c>
      <c r="BI13" s="1">
        <f>35702.89-6835.98</f>
        <v>28866.91</v>
      </c>
      <c r="BJ13" s="1">
        <f>15509.91-392.48</f>
        <v>15117.43</v>
      </c>
      <c r="BK13" s="1">
        <f>9727.03-198.3</f>
        <v>9528.7300000000014</v>
      </c>
      <c r="BL13" s="1">
        <f>165283.61-55089.91</f>
        <v>110193.69999999998</v>
      </c>
      <c r="BM13" s="1">
        <f>154985.88-55089.91</f>
        <v>99895.97</v>
      </c>
      <c r="BN13" s="1">
        <f>147908.73-55089.91</f>
        <v>92818.82</v>
      </c>
      <c r="BO13" s="1">
        <f>137385.94-53318.11</f>
        <v>84067.83</v>
      </c>
      <c r="BP13" s="1">
        <f>129017.7-53318.11</f>
        <v>75699.59</v>
      </c>
      <c r="BQ13" s="1">
        <f>120422.8-53318.11</f>
        <v>67104.69</v>
      </c>
      <c r="BR13" s="1">
        <f>110494.93-53318.11</f>
        <v>57176.819999999992</v>
      </c>
      <c r="BS13" s="1">
        <f>102406.75-52731.61</f>
        <v>49675.14</v>
      </c>
      <c r="BT13" s="1">
        <f>56305.75-17474.25</f>
        <v>38831.5</v>
      </c>
      <c r="BU13" s="1">
        <f>29627.71-1697.38</f>
        <v>27930.329999999998</v>
      </c>
      <c r="BV13" s="1">
        <f>19782.49-632.98</f>
        <v>19149.510000000002</v>
      </c>
      <c r="BW13" s="1">
        <f>9721.86-132.98</f>
        <v>9588.880000000001</v>
      </c>
    </row>
    <row r="14" spans="1:80">
      <c r="A14" s="25" t="s">
        <v>27</v>
      </c>
      <c r="D14" t="s">
        <v>32</v>
      </c>
      <c r="E14" s="14">
        <f>+(165347-31090)/12*12</f>
        <v>134257</v>
      </c>
      <c r="F14" s="14">
        <f>+(165347-31090)/12*11</f>
        <v>123068.91666666667</v>
      </c>
      <c r="G14" s="14">
        <f>+(165347-31090)/12*10</f>
        <v>111880.83333333334</v>
      </c>
      <c r="H14" s="14">
        <f>+(165347-31090)/12*9</f>
        <v>100692.75</v>
      </c>
      <c r="I14" s="14">
        <f>+(165347-31090)/12*8</f>
        <v>89504.666666666672</v>
      </c>
      <c r="J14" s="14">
        <f>+(165347-31090)/12*7</f>
        <v>78316.583333333343</v>
      </c>
      <c r="K14" s="14">
        <f>+(165347-31090)/12*6</f>
        <v>67128.5</v>
      </c>
      <c r="L14" s="14">
        <f>+(165347-31090)/12*5</f>
        <v>55940.416666666672</v>
      </c>
      <c r="M14" s="14">
        <f>+(165347-31090)/12*4</f>
        <v>44752.333333333336</v>
      </c>
      <c r="N14" s="14">
        <f>+(165347-31090)/12*3</f>
        <v>33564.25</v>
      </c>
      <c r="O14" s="14">
        <f>+(165347-31090)/12*2</f>
        <v>22376.166666666668</v>
      </c>
      <c r="P14" s="14">
        <f>+(165347-31090)/12*1</f>
        <v>11188.083333333334</v>
      </c>
      <c r="Q14" s="14">
        <f>+(173675-38900)/12*12</f>
        <v>134775</v>
      </c>
      <c r="R14" s="14">
        <f>+(173675-38900)/12*11</f>
        <v>123543.75</v>
      </c>
      <c r="S14" s="14">
        <f>+(173675-38900)/12*10</f>
        <v>112312.5</v>
      </c>
      <c r="T14" s="14">
        <f>+(173675-38900)/12*9</f>
        <v>101081.25</v>
      </c>
      <c r="U14" s="14">
        <f>+(173675-38900)/12*8</f>
        <v>89850</v>
      </c>
      <c r="V14" s="14">
        <f>+(173675-38900)/12*7</f>
        <v>78618.75</v>
      </c>
      <c r="W14" s="14">
        <f>+(173675-38900)/12*6</f>
        <v>67387.5</v>
      </c>
      <c r="X14" s="14">
        <f>+(173675-38900)/12*5</f>
        <v>56156.25</v>
      </c>
      <c r="Y14" s="14">
        <f>+(173675-38900)/12*4</f>
        <v>44925</v>
      </c>
      <c r="Z14" s="14">
        <f>+(173675-38900)/12*3</f>
        <v>33693.75</v>
      </c>
      <c r="AA14" s="14">
        <f>+(173675-38900)/12*2</f>
        <v>22462.5</v>
      </c>
      <c r="AB14" s="14">
        <f>+(173675-38900)/12*1</f>
        <v>11231.25</v>
      </c>
      <c r="AC14" s="14">
        <f>+(158897-34415)/12*12</f>
        <v>124482</v>
      </c>
      <c r="AD14" s="14">
        <f>+(158897-34415)/12*11</f>
        <v>114108.5</v>
      </c>
      <c r="AE14" s="14">
        <f>+(158897-34415)/12*10</f>
        <v>103735</v>
      </c>
      <c r="AF14" s="14">
        <f>+(158897-34415)/12*9</f>
        <v>93361.5</v>
      </c>
      <c r="AG14" s="14">
        <f>+(158897-34415)/12*8</f>
        <v>82988</v>
      </c>
      <c r="AH14" s="14">
        <f>+(158897-34415)/12*7</f>
        <v>72614.5</v>
      </c>
      <c r="AI14" s="14">
        <f>+(158897-34415)/12*6</f>
        <v>62241</v>
      </c>
      <c r="AJ14" s="14">
        <f>+(158897-34415)/12*5</f>
        <v>51867.5</v>
      </c>
      <c r="AK14" s="14">
        <f>+(158897-34415)/12*4</f>
        <v>41494</v>
      </c>
      <c r="AL14" s="14">
        <f>+(158897-34415)/12*3</f>
        <v>31120.5</v>
      </c>
      <c r="AM14" s="14">
        <f>+(158897-34415)/12*2</f>
        <v>20747</v>
      </c>
      <c r="AN14" s="14">
        <f>+(158897-34415)/12</f>
        <v>10373.5</v>
      </c>
      <c r="AO14" s="1">
        <f>+(169577-41565)/12*12</f>
        <v>128012</v>
      </c>
      <c r="AP14" s="1">
        <f>+(169577-41565)/12*11</f>
        <v>117344.33333333333</v>
      </c>
      <c r="AQ14" s="1">
        <f>+(169577-41565)/12*10</f>
        <v>106676.66666666666</v>
      </c>
      <c r="AR14" s="1">
        <f>+(169577-41565)/12*9</f>
        <v>96009</v>
      </c>
      <c r="AS14" s="1">
        <f>+(169577-41565)/12*8</f>
        <v>85341.333333333328</v>
      </c>
      <c r="AT14" s="1">
        <f>+(169577-41565)/12*7</f>
        <v>74673.666666666657</v>
      </c>
      <c r="AU14" s="1">
        <f>+(169577-41565)/12*6</f>
        <v>64006</v>
      </c>
      <c r="AV14" s="1">
        <f>+(169577-41565)/12*5</f>
        <v>53338.333333333328</v>
      </c>
      <c r="AW14" s="1">
        <f>+(169577-41565)/12*4</f>
        <v>42670.666666666664</v>
      </c>
      <c r="AX14" s="1">
        <f>+(169577-41565)/12*3</f>
        <v>32003</v>
      </c>
      <c r="AY14" s="1">
        <f>+(169577-41565)/12*2</f>
        <v>21335.333333333332</v>
      </c>
      <c r="AZ14" s="1">
        <f>+(169577-41565)/12</f>
        <v>10667.666666666666</v>
      </c>
      <c r="BA14" s="1">
        <f>+(171526-40275)/12*11</f>
        <v>120313.41666666667</v>
      </c>
      <c r="BB14" s="1">
        <f>+(171526-40275)/12*10</f>
        <v>109375.83333333334</v>
      </c>
      <c r="BC14" s="1">
        <f>+(171526-40275)/12*9</f>
        <v>98438.25</v>
      </c>
      <c r="BD14" s="1">
        <f>+(171526-40275)/12*8</f>
        <v>87500.666666666672</v>
      </c>
      <c r="BE14" s="1">
        <f>+(171526-40275)/12*7</f>
        <v>76563.083333333343</v>
      </c>
      <c r="BF14" s="1">
        <f>+(171526-40275)/12*6</f>
        <v>65625.5</v>
      </c>
      <c r="BG14" s="1">
        <f>+(171526-40275)/12*5</f>
        <v>54687.916666666672</v>
      </c>
      <c r="BH14" s="1">
        <f>+(171526-40275)/12*4</f>
        <v>43750.333333333336</v>
      </c>
      <c r="BI14" s="1">
        <f>+(171526-40275)/12*3</f>
        <v>32812.75</v>
      </c>
      <c r="BJ14" s="1">
        <f>+(171526-40275)/12*2</f>
        <v>21875.166666666668</v>
      </c>
      <c r="BK14" s="1">
        <f>+(171526-40275)/12</f>
        <v>10937.583333333334</v>
      </c>
      <c r="BL14" s="1">
        <f>131660/12*12</f>
        <v>131660</v>
      </c>
      <c r="BM14" s="1">
        <f>131660/12*11</f>
        <v>120688.33333333333</v>
      </c>
      <c r="BN14" s="1">
        <f>131660/12*10</f>
        <v>109716.66666666666</v>
      </c>
      <c r="BO14" s="1">
        <f>131660/12*9</f>
        <v>98745</v>
      </c>
      <c r="BP14" s="1">
        <f>131660/12*8</f>
        <v>87773.333333333328</v>
      </c>
      <c r="BQ14" s="1">
        <f>131660/12*7</f>
        <v>76801.666666666657</v>
      </c>
      <c r="BR14" s="1">
        <f>131660/12*6</f>
        <v>65830</v>
      </c>
      <c r="BS14" s="1">
        <f>131660/12*5</f>
        <v>54858.333333333328</v>
      </c>
      <c r="BT14" s="1">
        <f>131660/12*4</f>
        <v>43886.666666666664</v>
      </c>
      <c r="BU14" s="1">
        <f>131660/12*3</f>
        <v>32915</v>
      </c>
      <c r="BV14" s="1">
        <f>131660/12*2</f>
        <v>21943.333333333332</v>
      </c>
      <c r="BW14" s="1">
        <f>131660/12</f>
        <v>10971.666666666666</v>
      </c>
    </row>
    <row r="15" spans="1:80">
      <c r="D15" t="s">
        <v>33</v>
      </c>
      <c r="E15" s="7">
        <f t="shared" ref="E15:F15" si="19">+E14-E13</f>
        <v>12315.770000000004</v>
      </c>
      <c r="F15" s="7">
        <f t="shared" si="19"/>
        <v>12925.58666666667</v>
      </c>
      <c r="G15" s="7">
        <f t="shared" ref="G15:H15" si="20">+G14-G13</f>
        <v>11863.543333333335</v>
      </c>
      <c r="H15" s="7">
        <f t="shared" si="20"/>
        <v>10718.710000000006</v>
      </c>
      <c r="I15" s="7">
        <f t="shared" ref="I15:J15" si="21">+I14-I13</f>
        <v>11493.356666666674</v>
      </c>
      <c r="J15" s="7">
        <f t="shared" si="21"/>
        <v>8958.2933333333494</v>
      </c>
      <c r="K15" s="7">
        <f t="shared" ref="K15:L15" si="22">+K14-K13</f>
        <v>9471.3999999999942</v>
      </c>
      <c r="L15" s="7">
        <f t="shared" si="22"/>
        <v>7815.8466666666718</v>
      </c>
      <c r="M15" s="7">
        <f t="shared" ref="M15:N15" si="23">+M14-M13</f>
        <v>5600.1833333333343</v>
      </c>
      <c r="N15" s="7">
        <f t="shared" si="23"/>
        <v>3651.119999999999</v>
      </c>
      <c r="O15" s="7">
        <f t="shared" ref="O15:P15" si="24">+O14-O13</f>
        <v>2856.4466666666667</v>
      </c>
      <c r="P15" s="7">
        <f t="shared" si="24"/>
        <v>873.22333333333336</v>
      </c>
      <c r="Q15" s="7">
        <f t="shared" ref="Q15:BW15" si="25">+Q14-Q13</f>
        <v>12523.959999999992</v>
      </c>
      <c r="R15" s="7">
        <f t="shared" si="25"/>
        <v>13377.449999999983</v>
      </c>
      <c r="S15" s="7">
        <f t="shared" si="25"/>
        <v>12332.599999999991</v>
      </c>
      <c r="T15" s="7">
        <f t="shared" si="25"/>
        <v>10216.970000000001</v>
      </c>
      <c r="U15" s="7">
        <f t="shared" si="25"/>
        <v>9062.0499999999884</v>
      </c>
      <c r="V15" s="7">
        <f t="shared" si="25"/>
        <v>6693.6399999999994</v>
      </c>
      <c r="W15" s="7">
        <f t="shared" si="25"/>
        <v>8825.39</v>
      </c>
      <c r="X15" s="7">
        <f t="shared" si="25"/>
        <v>6898.7000000000044</v>
      </c>
      <c r="Y15" s="7">
        <f t="shared" si="25"/>
        <v>5354.7299999999959</v>
      </c>
      <c r="Z15" s="7">
        <f t="shared" si="25"/>
        <v>4244.09</v>
      </c>
      <c r="AA15" s="7">
        <f t="shared" si="25"/>
        <v>1584.1100000000006</v>
      </c>
      <c r="AB15" s="7">
        <f t="shared" si="25"/>
        <v>133.10000000000036</v>
      </c>
      <c r="AC15" s="7">
        <f t="shared" si="25"/>
        <v>13170.350000000006</v>
      </c>
      <c r="AD15" s="7">
        <f t="shared" si="25"/>
        <v>12681.62999999999</v>
      </c>
      <c r="AE15" s="7">
        <f t="shared" si="25"/>
        <v>10894.25</v>
      </c>
      <c r="AF15" s="7">
        <f t="shared" si="25"/>
        <v>10468.25</v>
      </c>
      <c r="AG15" s="7">
        <f t="shared" si="25"/>
        <v>9897</v>
      </c>
      <c r="AH15" s="7">
        <f t="shared" si="25"/>
        <v>7945</v>
      </c>
      <c r="AI15" s="7">
        <f t="shared" si="25"/>
        <v>8762.9799999999959</v>
      </c>
      <c r="AJ15" s="7">
        <f t="shared" si="25"/>
        <v>6089.6100000000006</v>
      </c>
      <c r="AK15" s="7">
        <f t="shared" si="25"/>
        <v>4447.4500000000044</v>
      </c>
      <c r="AL15" s="7">
        <f t="shared" si="25"/>
        <v>5308.1699999999983</v>
      </c>
      <c r="AM15" s="7">
        <f t="shared" si="25"/>
        <v>2776.8600000000006</v>
      </c>
      <c r="AN15" s="7">
        <f t="shared" si="25"/>
        <v>230.15999999999985</v>
      </c>
      <c r="AO15" s="7">
        <f t="shared" si="25"/>
        <v>12471.600000000006</v>
      </c>
      <c r="AP15" s="7">
        <f t="shared" si="25"/>
        <v>12685.283333333326</v>
      </c>
      <c r="AQ15" s="7">
        <f t="shared" si="25"/>
        <v>10799.556666666656</v>
      </c>
      <c r="AR15" s="7">
        <f t="shared" si="25"/>
        <v>9478.320000000007</v>
      </c>
      <c r="AS15" s="7">
        <f t="shared" si="25"/>
        <v>7005.993333333332</v>
      </c>
      <c r="AT15" s="7">
        <f t="shared" si="25"/>
        <v>4702.9066666666622</v>
      </c>
      <c r="AU15" s="7">
        <f t="shared" si="25"/>
        <v>4895.6500000000015</v>
      </c>
      <c r="AV15" s="7">
        <f t="shared" si="25"/>
        <v>4014.2633333333288</v>
      </c>
      <c r="AW15" s="7">
        <f t="shared" si="25"/>
        <v>2603.5266666666648</v>
      </c>
      <c r="AX15" s="7">
        <f t="shared" si="25"/>
        <v>951.34000000000015</v>
      </c>
      <c r="AY15" s="7">
        <f t="shared" si="25"/>
        <v>-236.95666666666875</v>
      </c>
      <c r="AZ15" s="7">
        <f t="shared" si="25"/>
        <v>-2834.623333333333</v>
      </c>
      <c r="BA15" s="7">
        <f t="shared" si="25"/>
        <v>16447.546666666676</v>
      </c>
      <c r="BB15" s="7">
        <f t="shared" si="25"/>
        <v>15053.423333333354</v>
      </c>
      <c r="BC15" s="7">
        <f t="shared" si="25"/>
        <v>12257.429999999993</v>
      </c>
      <c r="BD15" s="7">
        <f t="shared" si="25"/>
        <v>8906.506666666668</v>
      </c>
      <c r="BE15" s="7">
        <f t="shared" si="25"/>
        <v>12558.323333333348</v>
      </c>
      <c r="BF15" s="7">
        <f t="shared" si="25"/>
        <v>11053.489999999998</v>
      </c>
      <c r="BG15" s="7">
        <f t="shared" si="25"/>
        <v>7567.9566666666724</v>
      </c>
      <c r="BH15" s="7">
        <f t="shared" si="25"/>
        <v>4875.9433333333363</v>
      </c>
      <c r="BI15" s="7">
        <f t="shared" si="25"/>
        <v>3945.84</v>
      </c>
      <c r="BJ15" s="7">
        <f t="shared" si="25"/>
        <v>6757.7366666666676</v>
      </c>
      <c r="BK15" s="7">
        <f t="shared" si="25"/>
        <v>1408.8533333333326</v>
      </c>
      <c r="BL15" s="7">
        <f t="shared" si="25"/>
        <v>21466.300000000017</v>
      </c>
      <c r="BM15" s="7">
        <f t="shared" si="25"/>
        <v>20792.363333333327</v>
      </c>
      <c r="BN15" s="7">
        <f t="shared" si="25"/>
        <v>16897.84666666665</v>
      </c>
      <c r="BO15" s="7">
        <f t="shared" si="25"/>
        <v>14677.169999999998</v>
      </c>
      <c r="BP15" s="7">
        <f t="shared" si="25"/>
        <v>12073.743333333332</v>
      </c>
      <c r="BQ15" s="7">
        <f t="shared" si="25"/>
        <v>9696.9766666666546</v>
      </c>
      <c r="BR15" s="7">
        <f t="shared" si="25"/>
        <v>8653.1800000000076</v>
      </c>
      <c r="BS15" s="7">
        <f t="shared" si="25"/>
        <v>5183.1933333333291</v>
      </c>
      <c r="BT15" s="7">
        <f t="shared" si="25"/>
        <v>5055.1666666666642</v>
      </c>
      <c r="BU15" s="7">
        <f t="shared" si="25"/>
        <v>4984.6700000000019</v>
      </c>
      <c r="BV15" s="7">
        <f t="shared" si="25"/>
        <v>2793.8233333333301</v>
      </c>
      <c r="BW15" s="7">
        <f t="shared" si="25"/>
        <v>1382.786666666665</v>
      </c>
    </row>
    <row r="16" spans="1:80"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>
      <c r="A17" t="s">
        <v>34</v>
      </c>
      <c r="D17" t="s">
        <v>35</v>
      </c>
      <c r="E17" s="8">
        <f>+E15+E7+E11</f>
        <v>16214.201428571429</v>
      </c>
      <c r="F17" s="8">
        <f>+F15+F7+F11</f>
        <v>15068.000476190478</v>
      </c>
      <c r="G17" s="8">
        <f t="shared" ref="G17:H17" si="26">+G15+G7+G11</f>
        <v>13843.749523809525</v>
      </c>
      <c r="H17" s="8">
        <f t="shared" si="26"/>
        <v>8660.2100000000064</v>
      </c>
      <c r="I17" s="8">
        <f t="shared" ref="I17:J17" si="27">+I15+I7+I11</f>
        <v>5978.1990476190585</v>
      </c>
      <c r="J17" s="8">
        <f t="shared" si="27"/>
        <v>897.27238095240136</v>
      </c>
      <c r="K17" s="8">
        <f t="shared" ref="K17:L17" si="28">+K15+K7+K11</f>
        <v>1204.1199999999953</v>
      </c>
      <c r="L17" s="8">
        <f t="shared" si="28"/>
        <v>368.0033333333522</v>
      </c>
      <c r="M17" s="8">
        <f t="shared" ref="M17:N17" si="29">+M15+M7+M11</f>
        <v>-1393.3933333333352</v>
      </c>
      <c r="N17" s="8">
        <f t="shared" si="29"/>
        <v>-2305.9400000000023</v>
      </c>
      <c r="O17" s="8">
        <f t="shared" ref="O17:P17" si="30">+O15+O7+O11</f>
        <v>-1956.9766666666628</v>
      </c>
      <c r="P17" s="8">
        <f t="shared" si="30"/>
        <v>-986.34333333332734</v>
      </c>
      <c r="Q17" s="8">
        <f t="shared" ref="Q17:BK17" si="31">+Q15+Q7+Q11</f>
        <v>-1152.8199999999888</v>
      </c>
      <c r="R17" s="8">
        <f t="shared" si="31"/>
        <v>1302.8175757575591</v>
      </c>
      <c r="S17" s="8">
        <f t="shared" si="31"/>
        <v>1014.4033333333427</v>
      </c>
      <c r="T17" s="8">
        <f t="shared" si="31"/>
        <v>-242.6933333333327</v>
      </c>
      <c r="U17" s="8">
        <f t="shared" si="31"/>
        <v>-588.38333333333503</v>
      </c>
      <c r="V17" s="8">
        <f t="shared" si="31"/>
        <v>-2494.6452380952451</v>
      </c>
      <c r="W17" s="8">
        <f t="shared" si="31"/>
        <v>629.36000000000422</v>
      </c>
      <c r="X17" s="8">
        <f t="shared" si="31"/>
        <v>-431.77333333333081</v>
      </c>
      <c r="Y17" s="8">
        <f t="shared" si="31"/>
        <v>-415.62666666667246</v>
      </c>
      <c r="Z17" s="8">
        <f t="shared" si="31"/>
        <v>-1020.8399999999965</v>
      </c>
      <c r="AA17" s="8">
        <f t="shared" si="31"/>
        <v>-3258.7233333333324</v>
      </c>
      <c r="AB17" s="8">
        <f t="shared" si="31"/>
        <v>-4532.8166666666657</v>
      </c>
      <c r="AC17" s="8">
        <f t="shared" si="31"/>
        <v>11684.929999999989</v>
      </c>
      <c r="AD17" s="8">
        <f t="shared" si="31"/>
        <v>11599.576363636354</v>
      </c>
      <c r="AE17" s="8">
        <f t="shared" si="31"/>
        <v>10191.159999999989</v>
      </c>
      <c r="AF17" s="8">
        <f t="shared" si="31"/>
        <v>8292.9833333333318</v>
      </c>
      <c r="AG17" s="8">
        <f t="shared" si="31"/>
        <v>6203.359999999986</v>
      </c>
      <c r="AH17" s="8">
        <f t="shared" si="31"/>
        <v>4735.1799999999912</v>
      </c>
      <c r="AI17" s="8">
        <f t="shared" si="31"/>
        <v>5633.7499999999891</v>
      </c>
      <c r="AJ17" s="8">
        <f t="shared" si="31"/>
        <v>3507.9899999999975</v>
      </c>
      <c r="AK17" s="8">
        <f t="shared" si="31"/>
        <v>750.90000000000146</v>
      </c>
      <c r="AL17" s="8">
        <f t="shared" si="31"/>
        <v>1411.2400000000021</v>
      </c>
      <c r="AM17" s="8">
        <f t="shared" si="31"/>
        <v>-723.47000000000116</v>
      </c>
      <c r="AN17" s="8">
        <f t="shared" si="31"/>
        <v>-2156.2199999999975</v>
      </c>
      <c r="AO17" s="8">
        <f t="shared" si="31"/>
        <v>9155.6400000000103</v>
      </c>
      <c r="AP17" s="8">
        <f t="shared" si="31"/>
        <v>10807.483939393935</v>
      </c>
      <c r="AQ17" s="8">
        <f t="shared" si="31"/>
        <v>9791.9933333333211</v>
      </c>
      <c r="AR17" s="8">
        <f t="shared" si="31"/>
        <v>9580.8800000000047</v>
      </c>
      <c r="AS17" s="8">
        <f t="shared" si="31"/>
        <v>7095.1266666666634</v>
      </c>
      <c r="AT17" s="8">
        <f t="shared" si="31"/>
        <v>5815.6233333333275</v>
      </c>
      <c r="AU17" s="8">
        <f t="shared" si="31"/>
        <v>6407.7599999999984</v>
      </c>
      <c r="AV17" s="8">
        <f t="shared" si="31"/>
        <v>4384.9066666666658</v>
      </c>
      <c r="AW17" s="8">
        <f t="shared" si="31"/>
        <v>3660.0233333333254</v>
      </c>
      <c r="AX17" s="8">
        <f t="shared" si="31"/>
        <v>2602.6199999999953</v>
      </c>
      <c r="AY17" s="8">
        <f t="shared" si="31"/>
        <v>-1339.2033333333302</v>
      </c>
      <c r="AZ17" s="8">
        <f t="shared" si="31"/>
        <v>-3836.1066666666679</v>
      </c>
      <c r="BA17" s="8">
        <f t="shared" si="31"/>
        <v>17322.449696969721</v>
      </c>
      <c r="BB17" s="8">
        <f t="shared" si="31"/>
        <v>12404.956666666694</v>
      </c>
      <c r="BC17" s="8">
        <f t="shared" si="31"/>
        <v>2144.44333333332</v>
      </c>
      <c r="BD17" s="8">
        <f t="shared" si="31"/>
        <v>125.85333333332892</v>
      </c>
      <c r="BE17" s="8">
        <f t="shared" si="31"/>
        <v>5340.4066666666804</v>
      </c>
      <c r="BF17" s="8">
        <f t="shared" si="31"/>
        <v>6002.229999999985</v>
      </c>
      <c r="BG17" s="8">
        <f t="shared" si="31"/>
        <v>3429.9533333333275</v>
      </c>
      <c r="BH17" s="8">
        <f t="shared" si="31"/>
        <v>2939.1866666666738</v>
      </c>
      <c r="BI17" s="8">
        <f t="shared" si="31"/>
        <v>2303.2100000000132</v>
      </c>
      <c r="BJ17" s="8">
        <f t="shared" si="31"/>
        <v>4287.1933333333427</v>
      </c>
      <c r="BK17" s="8">
        <f t="shared" si="31"/>
        <v>1576.6766666666713</v>
      </c>
      <c r="BL17" s="8">
        <f t="shared" ref="BL17:BW17" si="32">+BL15+BL7</f>
        <v>16823.390909090929</v>
      </c>
      <c r="BM17" s="8">
        <f t="shared" si="32"/>
        <v>16149.454242424239</v>
      </c>
      <c r="BN17" s="8">
        <f t="shared" si="32"/>
        <v>12160.246666666651</v>
      </c>
      <c r="BO17" s="8">
        <f t="shared" si="32"/>
        <v>9842.5033333333322</v>
      </c>
      <c r="BP17" s="8">
        <f t="shared" si="32"/>
        <v>7159.743333333332</v>
      </c>
      <c r="BQ17" s="8">
        <f t="shared" si="32"/>
        <v>4728.9766666666574</v>
      </c>
      <c r="BR17" s="8">
        <f t="shared" si="32"/>
        <v>3641.1800000000112</v>
      </c>
      <c r="BS17" s="8">
        <f t="shared" si="32"/>
        <v>176.79333333332761</v>
      </c>
      <c r="BT17" s="8">
        <f t="shared" si="32"/>
        <v>141.16666666666424</v>
      </c>
      <c r="BU17" s="8">
        <f t="shared" si="32"/>
        <v>-559.32999999999811</v>
      </c>
      <c r="BV17" s="8">
        <f t="shared" si="32"/>
        <v>-1658.1766666666699</v>
      </c>
      <c r="BW17" s="8">
        <f t="shared" si="32"/>
        <v>-2145.213333333335</v>
      </c>
    </row>
    <row r="19" spans="1:75">
      <c r="A19" s="25" t="s">
        <v>36</v>
      </c>
      <c r="D19" t="s">
        <v>37</v>
      </c>
      <c r="E19" s="22">
        <v>213717.5</v>
      </c>
      <c r="F19" s="22">
        <v>200455.16</v>
      </c>
      <c r="G19" s="22">
        <v>199174.08</v>
      </c>
      <c r="H19" s="22">
        <v>198871.91</v>
      </c>
      <c r="I19" s="22">
        <v>201633.03</v>
      </c>
      <c r="J19" s="22">
        <v>198427.36</v>
      </c>
      <c r="K19" s="14">
        <v>201764.75</v>
      </c>
      <c r="L19" s="14">
        <v>204090.18</v>
      </c>
      <c r="M19" s="14">
        <v>204811.16</v>
      </c>
      <c r="N19" s="14">
        <v>207426.69</v>
      </c>
      <c r="O19" s="14">
        <v>208671.66</v>
      </c>
      <c r="P19" s="14">
        <v>205831.41</v>
      </c>
      <c r="Q19" s="14">
        <v>196400.27</v>
      </c>
      <c r="R19" s="14">
        <v>183372.72</v>
      </c>
      <c r="S19" s="14">
        <v>187318.57</v>
      </c>
      <c r="T19" s="14">
        <v>192689.72</v>
      </c>
      <c r="U19" s="14">
        <v>196488.25</v>
      </c>
      <c r="V19" s="14">
        <v>199939.96</v>
      </c>
      <c r="W19" s="14">
        <v>206509.62</v>
      </c>
      <c r="X19" s="14">
        <v>208026.37</v>
      </c>
      <c r="Y19" s="14">
        <v>226589.55</v>
      </c>
      <c r="Z19" s="14">
        <v>236966</v>
      </c>
      <c r="AA19" s="14">
        <v>216536.92</v>
      </c>
      <c r="AB19" s="14">
        <v>208852.88</v>
      </c>
      <c r="AC19" s="14">
        <v>208084.34</v>
      </c>
      <c r="AD19" s="14">
        <v>190910.57</v>
      </c>
      <c r="AE19" s="14">
        <v>195109.54</v>
      </c>
      <c r="AF19" s="14">
        <v>196661.4</v>
      </c>
      <c r="AG19" s="14">
        <v>198062.31</v>
      </c>
      <c r="AH19" s="14">
        <v>201360.67</v>
      </c>
      <c r="AI19" s="14">
        <v>205295.41</v>
      </c>
      <c r="AJ19" s="14">
        <v>222436.86</v>
      </c>
      <c r="AK19" s="14">
        <v>223214.74</v>
      </c>
      <c r="AL19" s="14">
        <v>225441.26</v>
      </c>
      <c r="AM19" s="14">
        <v>200070.68</v>
      </c>
      <c r="AN19" s="14">
        <v>190292.37</v>
      </c>
      <c r="AO19" s="13">
        <v>183451.03</v>
      </c>
      <c r="AP19" s="13">
        <v>165527.87</v>
      </c>
      <c r="AQ19" s="13">
        <v>169705.41</v>
      </c>
      <c r="AR19" s="13">
        <v>171598.07</v>
      </c>
      <c r="AS19" s="13">
        <v>171675.05</v>
      </c>
      <c r="AT19" s="1">
        <v>174179.87</v>
      </c>
      <c r="AU19" s="1">
        <v>196037.68</v>
      </c>
      <c r="AV19" s="1">
        <v>201222.8</v>
      </c>
      <c r="AW19" s="1">
        <v>199351.59</v>
      </c>
      <c r="AX19" s="1">
        <v>182578.38</v>
      </c>
      <c r="AY19" s="1">
        <v>172974.49</v>
      </c>
      <c r="AZ19" s="1">
        <v>168857.21</v>
      </c>
      <c r="BA19" s="1">
        <v>138236.38</v>
      </c>
      <c r="BB19" s="1">
        <v>139914.1</v>
      </c>
      <c r="BC19" s="1">
        <v>136897.97</v>
      </c>
      <c r="BD19" s="1">
        <v>133154.15</v>
      </c>
      <c r="BE19" s="1">
        <v>141056.29</v>
      </c>
      <c r="BF19" s="1">
        <v>146472.87</v>
      </c>
      <c r="BG19" s="1">
        <v>171294.25</v>
      </c>
      <c r="BH19" s="1">
        <v>171543.28</v>
      </c>
      <c r="BI19" s="1">
        <v>155924.75</v>
      </c>
      <c r="BJ19" s="1">
        <v>154498.1</v>
      </c>
      <c r="BK19" s="1">
        <v>152371.14000000001</v>
      </c>
      <c r="BL19" s="1">
        <v>120388.32</v>
      </c>
      <c r="BM19" s="1">
        <v>99920.19</v>
      </c>
      <c r="BN19" s="1">
        <v>101238.88</v>
      </c>
      <c r="BO19" s="1">
        <v>105639.09</v>
      </c>
      <c r="BP19" s="1">
        <v>108992.54</v>
      </c>
      <c r="BQ19" s="1">
        <v>112437.44</v>
      </c>
      <c r="BR19" s="1">
        <v>113633.69</v>
      </c>
      <c r="BS19" s="1">
        <v>115805.19</v>
      </c>
      <c r="BT19" s="1">
        <v>157672.74</v>
      </c>
      <c r="BU19" s="1">
        <v>164947.21</v>
      </c>
      <c r="BV19" s="1">
        <v>154575.5</v>
      </c>
      <c r="BW19" s="1">
        <v>151253.48000000001</v>
      </c>
    </row>
    <row r="20" spans="1:75">
      <c r="A20" t="s">
        <v>38</v>
      </c>
      <c r="D20" t="s">
        <v>39</v>
      </c>
      <c r="E20" s="14">
        <v>-49286.32</v>
      </c>
      <c r="F20" s="14">
        <v>-49286.32</v>
      </c>
      <c r="G20" s="14">
        <v>-49286.32</v>
      </c>
      <c r="H20" s="14">
        <v>-49286.32</v>
      </c>
      <c r="I20" s="14">
        <v>-49286.32</v>
      </c>
      <c r="J20" s="14">
        <v>-49286.32</v>
      </c>
      <c r="K20" s="14">
        <v>-49286.32</v>
      </c>
      <c r="L20" s="14">
        <v>-52772.84</v>
      </c>
      <c r="M20" s="14">
        <v>-52772.84</v>
      </c>
      <c r="N20" s="14">
        <v>-52772.84</v>
      </c>
      <c r="O20" s="14">
        <v>-52772.84</v>
      </c>
      <c r="P20" s="14">
        <v>-52772.84</v>
      </c>
      <c r="Q20" s="14">
        <v>-49435.3</v>
      </c>
      <c r="R20" s="14">
        <v>-49435.3</v>
      </c>
      <c r="S20" s="14">
        <v>-49435.3</v>
      </c>
      <c r="T20" s="14">
        <v>-49435.3</v>
      </c>
      <c r="U20" s="14">
        <v>-49435.3</v>
      </c>
      <c r="V20" s="14">
        <v>-49435.3</v>
      </c>
      <c r="W20" s="14">
        <v>-49435.3</v>
      </c>
      <c r="X20" s="14">
        <v>-49435.3</v>
      </c>
      <c r="Y20" s="14">
        <v>-49435.3</v>
      </c>
      <c r="Z20" s="14">
        <v>-49435.3</v>
      </c>
      <c r="AA20" s="14">
        <v>-49435.3</v>
      </c>
      <c r="AB20" s="14">
        <v>-49435.3</v>
      </c>
      <c r="AC20" s="14">
        <v>-49532.62</v>
      </c>
      <c r="AD20" s="14">
        <v>-49532.62</v>
      </c>
      <c r="AE20" s="14">
        <v>-49532.62</v>
      </c>
      <c r="AF20" s="14">
        <v>-49532.62</v>
      </c>
      <c r="AG20" s="14">
        <v>-49532.62</v>
      </c>
      <c r="AH20" s="14">
        <v>-49532.62</v>
      </c>
      <c r="AI20" s="14">
        <v>-49532.62</v>
      </c>
      <c r="AJ20" s="14">
        <v>-49532.62</v>
      </c>
      <c r="AK20" s="14">
        <v>-49532.62</v>
      </c>
      <c r="AL20" s="14">
        <v>-49532.62</v>
      </c>
      <c r="AM20" s="14">
        <v>-49532.62</v>
      </c>
      <c r="AN20" s="14">
        <v>-49532.62</v>
      </c>
      <c r="AO20" s="14">
        <v>-50647.44</v>
      </c>
      <c r="AP20" s="14">
        <v>-48110.63</v>
      </c>
      <c r="AQ20" s="14">
        <v>-47041.58</v>
      </c>
      <c r="AR20" s="14">
        <v>-47041.58</v>
      </c>
      <c r="AS20" s="14">
        <v>-47041.58</v>
      </c>
      <c r="AT20" s="1">
        <v>-47041.58</v>
      </c>
      <c r="AU20" s="1">
        <v>-47041.58</v>
      </c>
      <c r="AV20" s="1">
        <v>-47041.58</v>
      </c>
      <c r="AW20" s="1">
        <v>-47041.58</v>
      </c>
      <c r="AX20" s="1">
        <v>-47041.58</v>
      </c>
      <c r="AY20" s="1">
        <v>-47041.58</v>
      </c>
      <c r="AZ20" s="1">
        <v>-47041.58</v>
      </c>
      <c r="BA20" s="1">
        <v>-46210.35</v>
      </c>
      <c r="BB20" s="1">
        <v>-46210.35</v>
      </c>
      <c r="BC20" s="1">
        <v>-46210.35</v>
      </c>
      <c r="BD20" s="1">
        <v>-46210.35</v>
      </c>
      <c r="BE20" s="1">
        <v>-46210.35</v>
      </c>
      <c r="BF20" s="1">
        <v>-46210.35</v>
      </c>
      <c r="BG20" s="1">
        <v>-46210.35</v>
      </c>
      <c r="BH20" s="1">
        <v>-46210.35</v>
      </c>
      <c r="BI20" s="1">
        <v>-46210.35</v>
      </c>
      <c r="BJ20" s="1">
        <v>-46210.35</v>
      </c>
      <c r="BK20" s="1">
        <v>-46210.35</v>
      </c>
      <c r="BL20" s="1">
        <v>-47919.53</v>
      </c>
      <c r="BM20" s="1">
        <v>-47919.53</v>
      </c>
      <c r="BN20" s="1">
        <v>-47919.53</v>
      </c>
      <c r="BO20" s="1">
        <v>-47919.53</v>
      </c>
      <c r="BP20" s="1">
        <v>-47919.53</v>
      </c>
      <c r="BQ20" s="1">
        <v>-47919.53</v>
      </c>
      <c r="BR20" s="1">
        <v>-47919.53</v>
      </c>
      <c r="BS20" s="1">
        <v>-47919.53</v>
      </c>
      <c r="BT20" s="1">
        <v>-47919.53</v>
      </c>
      <c r="BU20" s="1">
        <v>-47919.53</v>
      </c>
      <c r="BV20" s="1">
        <v>-47919.53</v>
      </c>
      <c r="BW20" s="1">
        <v>-47919.53</v>
      </c>
    </row>
    <row r="21" spans="1:75">
      <c r="A21" t="s">
        <v>34</v>
      </c>
      <c r="E21" s="2">
        <f>SUM(E19:E20)</f>
        <v>164431.18</v>
      </c>
      <c r="F21" s="2">
        <f>SUM(F19:F20)</f>
        <v>151168.84</v>
      </c>
      <c r="G21" s="2">
        <f>SUM(G19:G20)</f>
        <v>149887.75999999998</v>
      </c>
      <c r="H21" s="2">
        <f>SUM(H19:H20)</f>
        <v>149585.59</v>
      </c>
      <c r="I21" s="2">
        <f>SUM(I19:I20)</f>
        <v>152346.71</v>
      </c>
      <c r="J21" s="2">
        <f>SUM(J19:J20)</f>
        <v>149141.03999999998</v>
      </c>
      <c r="K21" s="2">
        <f>SUM(K19:K20)</f>
        <v>152478.43</v>
      </c>
      <c r="L21" s="2">
        <f t="shared" ref="L21:M21" si="33">SUM(L19:L20)</f>
        <v>151317.34</v>
      </c>
      <c r="M21" s="2">
        <f t="shared" si="33"/>
        <v>152038.32</v>
      </c>
      <c r="N21" s="2">
        <f t="shared" ref="N21:O21" si="34">SUM(N19:N20)</f>
        <v>154653.85</v>
      </c>
      <c r="O21" s="2">
        <f t="shared" si="34"/>
        <v>155898.82</v>
      </c>
      <c r="P21" s="2">
        <f t="shared" ref="P21:Q21" si="35">SUM(P19:P20)</f>
        <v>153058.57</v>
      </c>
      <c r="Q21" s="2">
        <f t="shared" si="35"/>
        <v>146964.96999999997</v>
      </c>
      <c r="R21" s="2">
        <f t="shared" ref="R21:BW21" si="36">SUM(R19:R20)</f>
        <v>133937.41999999998</v>
      </c>
      <c r="S21" s="2">
        <f t="shared" si="36"/>
        <v>137883.27000000002</v>
      </c>
      <c r="T21" s="2">
        <f t="shared" si="36"/>
        <v>143254.41999999998</v>
      </c>
      <c r="U21" s="2">
        <f t="shared" si="36"/>
        <v>147052.95000000001</v>
      </c>
      <c r="V21" s="2">
        <f t="shared" si="36"/>
        <v>150504.65999999997</v>
      </c>
      <c r="W21" s="2">
        <f t="shared" si="36"/>
        <v>157074.32</v>
      </c>
      <c r="X21" s="2">
        <f t="shared" si="36"/>
        <v>158591.07</v>
      </c>
      <c r="Y21" s="2">
        <f t="shared" si="36"/>
        <v>177154.25</v>
      </c>
      <c r="Z21" s="2">
        <f t="shared" si="36"/>
        <v>187530.7</v>
      </c>
      <c r="AA21" s="2">
        <f t="shared" si="36"/>
        <v>167101.62</v>
      </c>
      <c r="AB21" s="2">
        <f t="shared" si="36"/>
        <v>159417.58000000002</v>
      </c>
      <c r="AC21" s="2">
        <f t="shared" si="36"/>
        <v>158551.72</v>
      </c>
      <c r="AD21" s="2">
        <f t="shared" si="36"/>
        <v>141377.95000000001</v>
      </c>
      <c r="AE21" s="2">
        <f t="shared" si="36"/>
        <v>145576.92000000001</v>
      </c>
      <c r="AF21" s="2">
        <f t="shared" si="36"/>
        <v>147128.78</v>
      </c>
      <c r="AG21" s="2">
        <f t="shared" si="36"/>
        <v>148529.69</v>
      </c>
      <c r="AH21" s="2">
        <f t="shared" si="36"/>
        <v>151828.05000000002</v>
      </c>
      <c r="AI21" s="2">
        <f t="shared" si="36"/>
        <v>155762.79</v>
      </c>
      <c r="AJ21" s="2">
        <f t="shared" si="36"/>
        <v>172904.24</v>
      </c>
      <c r="AK21" s="2">
        <f t="shared" si="36"/>
        <v>173682.12</v>
      </c>
      <c r="AL21" s="2">
        <f t="shared" si="36"/>
        <v>175908.64</v>
      </c>
      <c r="AM21" s="2">
        <f t="shared" si="36"/>
        <v>150538.06</v>
      </c>
      <c r="AN21" s="2">
        <f t="shared" si="36"/>
        <v>140759.75</v>
      </c>
      <c r="AO21" s="2">
        <f t="shared" si="36"/>
        <v>132803.59</v>
      </c>
      <c r="AP21" s="2">
        <f t="shared" si="36"/>
        <v>117417.23999999999</v>
      </c>
      <c r="AQ21" s="2">
        <f t="shared" si="36"/>
        <v>122663.83</v>
      </c>
      <c r="AR21" s="2">
        <f t="shared" si="36"/>
        <v>124556.49</v>
      </c>
      <c r="AS21" s="2">
        <f t="shared" si="36"/>
        <v>124633.46999999999</v>
      </c>
      <c r="AT21" s="2">
        <f t="shared" si="36"/>
        <v>127138.29</v>
      </c>
      <c r="AU21" s="2">
        <f t="shared" si="36"/>
        <v>148996.09999999998</v>
      </c>
      <c r="AV21" s="2">
        <f t="shared" si="36"/>
        <v>154181.21999999997</v>
      </c>
      <c r="AW21" s="2">
        <f t="shared" si="36"/>
        <v>152310.01</v>
      </c>
      <c r="AX21" s="2">
        <f t="shared" si="36"/>
        <v>135536.79999999999</v>
      </c>
      <c r="AY21" s="2">
        <f t="shared" si="36"/>
        <v>125932.90999999999</v>
      </c>
      <c r="AZ21" s="2">
        <f t="shared" si="36"/>
        <v>121815.62999999999</v>
      </c>
      <c r="BA21" s="2">
        <f t="shared" si="36"/>
        <v>92026.03</v>
      </c>
      <c r="BB21" s="2">
        <f t="shared" si="36"/>
        <v>93703.75</v>
      </c>
      <c r="BC21" s="2">
        <f t="shared" si="36"/>
        <v>90687.62</v>
      </c>
      <c r="BD21" s="2">
        <f t="shared" si="36"/>
        <v>86943.799999999988</v>
      </c>
      <c r="BE21" s="2">
        <f t="shared" si="36"/>
        <v>94845.94</v>
      </c>
      <c r="BF21" s="2">
        <f t="shared" si="36"/>
        <v>100262.51999999999</v>
      </c>
      <c r="BG21" s="2">
        <f t="shared" si="36"/>
        <v>125083.9</v>
      </c>
      <c r="BH21" s="2">
        <f t="shared" si="36"/>
        <v>125332.93</v>
      </c>
      <c r="BI21" s="2">
        <f t="shared" si="36"/>
        <v>109714.4</v>
      </c>
      <c r="BJ21" s="2">
        <f t="shared" si="36"/>
        <v>108287.75</v>
      </c>
      <c r="BK21" s="2">
        <f t="shared" si="36"/>
        <v>106160.79000000001</v>
      </c>
      <c r="BL21" s="2">
        <f t="shared" si="36"/>
        <v>72468.790000000008</v>
      </c>
      <c r="BM21" s="2">
        <f t="shared" si="36"/>
        <v>52000.66</v>
      </c>
      <c r="BN21" s="2">
        <f t="shared" si="36"/>
        <v>53319.350000000006</v>
      </c>
      <c r="BO21" s="2">
        <f t="shared" si="36"/>
        <v>57719.56</v>
      </c>
      <c r="BP21" s="2">
        <f t="shared" si="36"/>
        <v>61073.009999999995</v>
      </c>
      <c r="BQ21" s="2">
        <f t="shared" si="36"/>
        <v>64517.91</v>
      </c>
      <c r="BR21" s="2">
        <f t="shared" si="36"/>
        <v>65714.16</v>
      </c>
      <c r="BS21" s="2">
        <f t="shared" si="36"/>
        <v>67885.66</v>
      </c>
      <c r="BT21" s="2">
        <f t="shared" si="36"/>
        <v>109753.20999999999</v>
      </c>
      <c r="BU21" s="2">
        <f t="shared" si="36"/>
        <v>117027.68</v>
      </c>
      <c r="BV21" s="2">
        <f t="shared" si="36"/>
        <v>106655.97</v>
      </c>
      <c r="BW21" s="2">
        <f t="shared" si="36"/>
        <v>103333.95000000001</v>
      </c>
    </row>
    <row r="23" spans="1:75">
      <c r="A23" s="25" t="s">
        <v>40</v>
      </c>
      <c r="D23" t="s">
        <v>41</v>
      </c>
      <c r="E23" s="13">
        <v>9553.5400000000009</v>
      </c>
      <c r="F23" s="13">
        <v>9872.83</v>
      </c>
      <c r="G23" s="13">
        <v>9891.52</v>
      </c>
      <c r="H23" s="13">
        <v>9914.73</v>
      </c>
      <c r="I23" s="13">
        <v>9914.73</v>
      </c>
      <c r="J23" s="13">
        <v>9914.73</v>
      </c>
      <c r="K23" s="13">
        <v>9914.73</v>
      </c>
      <c r="L23" s="13">
        <v>9977.82</v>
      </c>
      <c r="M23" s="13"/>
      <c r="N23" s="13"/>
      <c r="O23" s="13"/>
      <c r="P23" s="13"/>
      <c r="Q23" s="13">
        <v>2159.13</v>
      </c>
      <c r="R23" s="13">
        <v>2059.13</v>
      </c>
      <c r="S23" s="13">
        <v>2059.13</v>
      </c>
      <c r="T23" s="13">
        <v>2059.13</v>
      </c>
      <c r="U23" s="13">
        <v>2059.13</v>
      </c>
      <c r="V23" s="13">
        <v>2059.13</v>
      </c>
      <c r="W23" s="13">
        <v>2059.13</v>
      </c>
      <c r="X23" s="13">
        <v>2059.13</v>
      </c>
      <c r="Y23" s="13"/>
      <c r="Z23" s="13"/>
      <c r="AA23" s="13"/>
      <c r="AB23" s="13"/>
      <c r="AC23" s="13">
        <v>15327.16</v>
      </c>
      <c r="AD23" s="13">
        <v>15327.16</v>
      </c>
      <c r="AE23" s="13">
        <v>15327.16</v>
      </c>
      <c r="AF23" s="13">
        <v>15327.16</v>
      </c>
      <c r="AG23" s="13">
        <v>15327.16</v>
      </c>
      <c r="AH23" s="13">
        <v>15327.16</v>
      </c>
      <c r="AI23" s="13">
        <v>15327.16</v>
      </c>
      <c r="AJ23" s="13">
        <v>15327.16</v>
      </c>
      <c r="AO23" s="6">
        <v>11273.89</v>
      </c>
      <c r="AP23" s="6">
        <v>11273.89</v>
      </c>
      <c r="AQ23" s="6">
        <v>11273.89</v>
      </c>
      <c r="AR23" s="6">
        <v>11273.89</v>
      </c>
      <c r="AS23" s="6">
        <v>11273.89</v>
      </c>
      <c r="AT23" s="6">
        <v>11273.89</v>
      </c>
      <c r="AU23" s="6"/>
      <c r="AV23" s="6"/>
      <c r="AW23" s="6"/>
      <c r="AX23" s="6"/>
      <c r="AY23" s="6"/>
      <c r="AZ23" s="6"/>
      <c r="BA23" s="6">
        <v>12836.49</v>
      </c>
      <c r="BB23" s="6">
        <v>13124.2</v>
      </c>
      <c r="BC23" s="6">
        <v>13755</v>
      </c>
      <c r="BD23" s="6">
        <v>13755</v>
      </c>
      <c r="BE23" s="6">
        <v>13755</v>
      </c>
      <c r="BF23" s="6">
        <v>15375.21</v>
      </c>
      <c r="BG23" s="3" t="s">
        <v>42</v>
      </c>
      <c r="BH23" s="3" t="s">
        <v>42</v>
      </c>
      <c r="BI23" s="3" t="s">
        <v>42</v>
      </c>
      <c r="BJ23" s="3" t="s">
        <v>42</v>
      </c>
      <c r="BK23" s="3" t="s">
        <v>42</v>
      </c>
      <c r="BL23" s="6">
        <v>-17550.150000000001</v>
      </c>
      <c r="BM23" s="6">
        <v>-17550.150000000001</v>
      </c>
      <c r="BN23" s="6">
        <v>-17550.150000000001</v>
      </c>
      <c r="BO23" s="6">
        <v>-15778.35</v>
      </c>
      <c r="BP23" s="6">
        <v>-15778.35</v>
      </c>
      <c r="BQ23" s="6">
        <v>-15778.35</v>
      </c>
      <c r="BR23" s="6">
        <v>-15778.35</v>
      </c>
      <c r="BS23" s="6">
        <v>-15191.85</v>
      </c>
      <c r="BT23" s="3" t="s">
        <v>42</v>
      </c>
      <c r="BU23" s="3" t="s">
        <v>42</v>
      </c>
      <c r="BV23" s="3" t="s">
        <v>42</v>
      </c>
      <c r="BW23" s="3" t="s">
        <v>42</v>
      </c>
    </row>
    <row r="25" spans="1:75">
      <c r="BA25" s="9"/>
      <c r="BB25" s="9"/>
    </row>
    <row r="26" spans="1:75">
      <c r="D26" t="s">
        <v>43</v>
      </c>
      <c r="AT26" s="11"/>
      <c r="AU26" s="11"/>
      <c r="AV26" s="11"/>
      <c r="AW26" s="11"/>
      <c r="AX26" s="11"/>
      <c r="AY26" s="11"/>
      <c r="AZ26" s="11"/>
      <c r="BJ26" s="1"/>
    </row>
    <row r="30" spans="1:75">
      <c r="BJ30" s="9"/>
    </row>
  </sheetData>
  <mergeCells count="6">
    <mergeCell ref="L1:P1"/>
    <mergeCell ref="AC1:AN1"/>
    <mergeCell ref="AO1:AZ1"/>
    <mergeCell ref="BA1:BB1"/>
    <mergeCell ref="BL1:BN1"/>
    <mergeCell ref="Q1:AB1"/>
  </mergeCells>
  <pageMargins left="0.7" right="0.7" top="0.75" bottom="0.75" header="0.3" footer="0.3"/>
  <pageSetup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F2F0-0ECA-4723-A236-7137F6281D76}">
  <sheetPr>
    <pageSetUpPr fitToPage="1"/>
  </sheetPr>
  <dimension ref="A1:BO30"/>
  <sheetViews>
    <sheetView workbookViewId="0"/>
  </sheetViews>
  <sheetFormatPr defaultColWidth="9.140625" defaultRowHeight="14.45"/>
  <cols>
    <col min="3" max="3" width="52.140625" customWidth="1"/>
    <col min="4" max="6" width="15.140625" customWidth="1"/>
    <col min="7" max="15" width="15.140625" hidden="1" customWidth="1"/>
    <col min="16" max="18" width="15.140625" customWidth="1"/>
    <col min="19" max="22" width="15.140625" hidden="1" customWidth="1"/>
    <col min="23" max="23" width="15.5703125" hidden="1" customWidth="1"/>
    <col min="24" max="24" width="15.140625" hidden="1" customWidth="1"/>
    <col min="25" max="25" width="15.28515625" hidden="1" customWidth="1"/>
    <col min="26" max="32" width="15.140625" hidden="1" customWidth="1"/>
    <col min="33" max="34" width="14.7109375" hidden="1" customWidth="1"/>
    <col min="35" max="35" width="16.28515625" hidden="1" customWidth="1"/>
    <col min="36" max="37" width="14.7109375" hidden="1" customWidth="1"/>
    <col min="38" max="39" width="17.7109375" hidden="1" customWidth="1"/>
    <col min="40" max="45" width="15.7109375" hidden="1" customWidth="1"/>
    <col min="46" max="46" width="14.85546875" hidden="1" customWidth="1"/>
    <col min="47" max="48" width="15.140625" hidden="1" customWidth="1"/>
    <col min="49" max="49" width="13.7109375" hidden="1" customWidth="1"/>
    <col min="50" max="50" width="10.85546875" hidden="1" customWidth="1"/>
    <col min="51" max="52" width="14.7109375" hidden="1" customWidth="1"/>
    <col min="53" max="53" width="12" hidden="1" customWidth="1"/>
    <col min="54" max="58" width="13.5703125" hidden="1" customWidth="1"/>
    <col min="59" max="59" width="14.28515625" hidden="1" customWidth="1"/>
    <col min="60" max="62" width="11.140625" hidden="1" customWidth="1"/>
    <col min="63" max="64" width="8.85546875" customWidth="1"/>
    <col min="65" max="67" width="9.140625" bestFit="1" customWidth="1"/>
  </cols>
  <sheetData>
    <row r="1" spans="1:67" ht="15" thickBot="1">
      <c r="A1" t="s">
        <v>1</v>
      </c>
      <c r="D1" s="34">
        <v>2019</v>
      </c>
      <c r="E1" s="34"/>
      <c r="F1" s="34"/>
      <c r="G1" s="34"/>
      <c r="H1" s="34"/>
      <c r="I1" s="34"/>
      <c r="J1" s="34"/>
      <c r="K1" s="21"/>
      <c r="L1" s="21"/>
      <c r="M1" s="20"/>
      <c r="N1" s="20"/>
      <c r="O1" s="20"/>
      <c r="P1" s="35">
        <v>2018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6"/>
      <c r="AB1" s="37">
        <v>2017</v>
      </c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8"/>
      <c r="AN1" s="32"/>
      <c r="AO1" s="32"/>
      <c r="AP1" s="12"/>
      <c r="AQ1" s="12"/>
      <c r="AR1" s="12"/>
      <c r="AS1" s="12"/>
      <c r="AT1" s="12"/>
      <c r="AU1" s="28"/>
      <c r="AV1" s="29"/>
      <c r="AW1" s="29"/>
      <c r="AX1" s="29"/>
      <c r="AY1" s="31">
        <v>2015</v>
      </c>
      <c r="AZ1" s="32"/>
      <c r="BA1" s="33"/>
      <c r="BB1" s="28"/>
      <c r="BC1" s="10"/>
      <c r="BD1" s="29"/>
      <c r="BE1" s="29"/>
      <c r="BF1" s="28"/>
      <c r="BG1" s="28"/>
      <c r="BH1" s="28"/>
      <c r="BI1" s="28"/>
      <c r="BJ1" s="29"/>
    </row>
    <row r="2" spans="1:67"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2</v>
      </c>
      <c r="N2" s="18" t="s">
        <v>3</v>
      </c>
      <c r="O2" s="18" t="s">
        <v>4</v>
      </c>
      <c r="P2" s="18" t="s">
        <v>5</v>
      </c>
      <c r="Q2" s="18" t="s">
        <v>6</v>
      </c>
      <c r="R2" s="18" t="s">
        <v>7</v>
      </c>
      <c r="S2" s="18" t="s">
        <v>8</v>
      </c>
      <c r="T2" s="18" t="s">
        <v>9</v>
      </c>
      <c r="U2" s="18" t="s">
        <v>10</v>
      </c>
      <c r="V2" s="18" t="s">
        <v>11</v>
      </c>
      <c r="W2" s="18" t="s">
        <v>12</v>
      </c>
      <c r="X2" s="18" t="s">
        <v>13</v>
      </c>
      <c r="Y2" s="18" t="s">
        <v>2</v>
      </c>
      <c r="Z2" s="18" t="s">
        <v>3</v>
      </c>
      <c r="AA2" s="18" t="s">
        <v>4</v>
      </c>
      <c r="AB2" s="4" t="s">
        <v>5</v>
      </c>
      <c r="AC2" s="4" t="s">
        <v>6</v>
      </c>
      <c r="AD2" s="4" t="s">
        <v>7</v>
      </c>
      <c r="AE2" s="4" t="s">
        <v>8</v>
      </c>
      <c r="AF2" s="4" t="s">
        <v>9</v>
      </c>
      <c r="AG2" s="4" t="s">
        <v>10</v>
      </c>
      <c r="AH2" s="4" t="s">
        <v>11</v>
      </c>
      <c r="AI2" s="4" t="s">
        <v>12</v>
      </c>
      <c r="AJ2" s="4" t="s">
        <v>13</v>
      </c>
      <c r="AK2" s="4" t="s">
        <v>2</v>
      </c>
      <c r="AL2" s="4" t="s">
        <v>3</v>
      </c>
      <c r="AM2" s="4" t="s">
        <v>4</v>
      </c>
      <c r="AN2" s="4" t="s">
        <v>6</v>
      </c>
      <c r="AO2" s="4" t="s">
        <v>7</v>
      </c>
      <c r="AP2" s="4" t="s">
        <v>8</v>
      </c>
      <c r="AQ2" s="4" t="s">
        <v>9</v>
      </c>
      <c r="AR2" s="4" t="s">
        <v>10</v>
      </c>
      <c r="AS2" s="4" t="s">
        <v>11</v>
      </c>
      <c r="AT2" s="4" t="s">
        <v>12</v>
      </c>
      <c r="AU2" s="4" t="s">
        <v>13</v>
      </c>
      <c r="AV2" s="4" t="s">
        <v>2</v>
      </c>
      <c r="AW2" s="4" t="s">
        <v>3</v>
      </c>
      <c r="AX2" s="4" t="s">
        <v>4</v>
      </c>
      <c r="AY2" s="4" t="s">
        <v>5</v>
      </c>
      <c r="AZ2" s="4" t="s">
        <v>6</v>
      </c>
      <c r="BA2" s="4" t="s">
        <v>7</v>
      </c>
      <c r="BB2" s="4" t="s">
        <v>8</v>
      </c>
      <c r="BC2" s="4" t="s">
        <v>9</v>
      </c>
      <c r="BD2" s="4" t="s">
        <v>10</v>
      </c>
      <c r="BE2" s="4" t="s">
        <v>11</v>
      </c>
      <c r="BF2" s="4" t="s">
        <v>12</v>
      </c>
      <c r="BG2" s="4" t="s">
        <v>13</v>
      </c>
      <c r="BH2" s="4" t="s">
        <v>2</v>
      </c>
      <c r="BI2" s="4" t="s">
        <v>3</v>
      </c>
      <c r="BJ2" s="4" t="s">
        <v>4</v>
      </c>
    </row>
    <row r="3" spans="1:67">
      <c r="C3" t="s">
        <v>15</v>
      </c>
      <c r="D3">
        <v>360</v>
      </c>
      <c r="E3">
        <v>360</v>
      </c>
      <c r="F3">
        <v>363</v>
      </c>
      <c r="G3">
        <v>371</v>
      </c>
      <c r="H3">
        <v>378</v>
      </c>
      <c r="I3">
        <v>374</v>
      </c>
      <c r="J3">
        <v>375</v>
      </c>
      <c r="K3">
        <v>376</v>
      </c>
      <c r="L3">
        <v>383</v>
      </c>
      <c r="M3">
        <v>387</v>
      </c>
      <c r="N3">
        <v>386</v>
      </c>
      <c r="O3">
        <v>392</v>
      </c>
      <c r="P3">
        <v>405</v>
      </c>
      <c r="Q3">
        <v>407</v>
      </c>
      <c r="R3">
        <v>399</v>
      </c>
      <c r="S3">
        <v>396</v>
      </c>
      <c r="T3">
        <v>396</v>
      </c>
      <c r="U3">
        <v>397</v>
      </c>
      <c r="V3">
        <v>400</v>
      </c>
      <c r="W3">
        <v>395</v>
      </c>
      <c r="X3">
        <v>387</v>
      </c>
      <c r="Y3">
        <v>385</v>
      </c>
      <c r="Z3">
        <v>392</v>
      </c>
      <c r="AA3">
        <v>397</v>
      </c>
      <c r="AB3">
        <v>418</v>
      </c>
      <c r="AC3">
        <v>417</v>
      </c>
      <c r="AD3">
        <v>421</v>
      </c>
      <c r="AE3">
        <f>412+14</f>
        <v>426</v>
      </c>
      <c r="AF3">
        <v>417</v>
      </c>
      <c r="AG3">
        <v>424</v>
      </c>
      <c r="AH3">
        <v>424</v>
      </c>
      <c r="AI3">
        <v>420</v>
      </c>
      <c r="AJ3">
        <v>420</v>
      </c>
      <c r="AK3">
        <v>423</v>
      </c>
      <c r="AL3">
        <f>404+13</f>
        <v>417</v>
      </c>
      <c r="AM3">
        <v>421</v>
      </c>
      <c r="AN3">
        <v>451</v>
      </c>
      <c r="AO3">
        <f>433+13</f>
        <v>446</v>
      </c>
      <c r="AP3">
        <f>428+13</f>
        <v>441</v>
      </c>
      <c r="AQ3">
        <v>439</v>
      </c>
      <c r="AR3">
        <v>431</v>
      </c>
      <c r="AS3">
        <v>440</v>
      </c>
      <c r="AT3">
        <v>445</v>
      </c>
      <c r="AU3">
        <v>441</v>
      </c>
      <c r="AV3">
        <v>444</v>
      </c>
      <c r="AW3">
        <v>441</v>
      </c>
      <c r="AX3">
        <v>449</v>
      </c>
      <c r="AY3">
        <v>440</v>
      </c>
      <c r="AZ3">
        <v>438</v>
      </c>
      <c r="BA3">
        <v>437</v>
      </c>
      <c r="BB3">
        <v>435</v>
      </c>
      <c r="BC3">
        <v>433</v>
      </c>
      <c r="BD3">
        <v>432</v>
      </c>
      <c r="BE3">
        <v>430</v>
      </c>
      <c r="BF3">
        <v>428</v>
      </c>
      <c r="BG3">
        <v>430</v>
      </c>
      <c r="BH3">
        <v>426</v>
      </c>
      <c r="BI3">
        <v>428</v>
      </c>
      <c r="BJ3">
        <v>439</v>
      </c>
    </row>
    <row r="4" spans="1:67">
      <c r="C4" t="s">
        <v>17</v>
      </c>
      <c r="D4" s="5">
        <f>AVERAGE(D3:O3)</f>
        <v>375.41666666666669</v>
      </c>
      <c r="E4" s="5">
        <f>AVERAGE(E3:O3)</f>
        <v>376.81818181818181</v>
      </c>
      <c r="F4" s="5">
        <f>AVERAGE(F3:O3)</f>
        <v>378.5</v>
      </c>
      <c r="G4" s="5">
        <f>AVERAGE(G3:O3)</f>
        <v>380.22222222222223</v>
      </c>
      <c r="H4" s="5">
        <f>AVERAGE(H3:O3)</f>
        <v>381.375</v>
      </c>
      <c r="I4" s="5">
        <f>AVERAGE(I3:O3)</f>
        <v>381.85714285714283</v>
      </c>
      <c r="J4" s="5">
        <f>AVERAGE(J3:O3)</f>
        <v>383.16666666666669</v>
      </c>
      <c r="K4" s="5">
        <f>AVERAGE(K3:O3)</f>
        <v>384.8</v>
      </c>
      <c r="L4" s="5">
        <f>AVERAGE(L3:O3)</f>
        <v>387</v>
      </c>
      <c r="M4" s="5">
        <f>AVERAGE(M3:O3)</f>
        <v>388.33333333333331</v>
      </c>
      <c r="N4" s="5">
        <f>AVERAGE(N3:O3)</f>
        <v>389</v>
      </c>
      <c r="O4" s="5">
        <f>AVERAGE(O3)</f>
        <v>392</v>
      </c>
      <c r="P4" s="5">
        <f>AVERAGE(P3:AA3)</f>
        <v>396.33333333333331</v>
      </c>
      <c r="Q4" s="5">
        <f>AVERAGE(Q3:AA3)</f>
        <v>395.54545454545456</v>
      </c>
      <c r="R4" s="5">
        <f>AVERAGE(R3:AA3)</f>
        <v>394.4</v>
      </c>
      <c r="S4" s="5">
        <f>AVERAGE(S3:AA3)</f>
        <v>393.88888888888891</v>
      </c>
      <c r="T4" s="5">
        <f>AVERAGE(T3:AA3)</f>
        <v>393.625</v>
      </c>
      <c r="U4" s="5">
        <f>AVERAGE(U3:AA3)</f>
        <v>393.28571428571428</v>
      </c>
      <c r="V4" s="5">
        <f>AVERAGE(V3:AA3)</f>
        <v>392.66666666666669</v>
      </c>
      <c r="W4" s="5">
        <f>AVERAGE(W3:AA3)</f>
        <v>391.2</v>
      </c>
      <c r="X4" s="5">
        <f>AVERAGE(X3:AA3)</f>
        <v>390.25</v>
      </c>
      <c r="Y4" s="5">
        <f>AVERAGE(Y3:AA3)</f>
        <v>391.33333333333331</v>
      </c>
      <c r="Z4" s="5">
        <f>AVERAGE(Z3:AA3)</f>
        <v>394.5</v>
      </c>
      <c r="AA4" s="5">
        <f>AVERAGE(AA3:AA3)</f>
        <v>397</v>
      </c>
      <c r="AB4" s="5">
        <f>AVERAGE(AB3:AM3)</f>
        <v>420.66666666666669</v>
      </c>
      <c r="AC4" s="5">
        <f>AVERAGE(AC3:AM3)</f>
        <v>420.90909090909093</v>
      </c>
      <c r="AD4" s="5">
        <f>AVERAGE(AD3:AM3)</f>
        <v>421.3</v>
      </c>
      <c r="AE4" s="5">
        <f>AVERAGE(AE3:AM3)</f>
        <v>421.33333333333331</v>
      </c>
      <c r="AF4" s="5">
        <f>AVERAGE(AF3:AM3)</f>
        <v>420.75</v>
      </c>
      <c r="AG4" s="5">
        <f>AVERAGE(AG3:AM3)</f>
        <v>421.28571428571428</v>
      </c>
      <c r="AH4" s="5">
        <f>AVERAGE(AH3:AM3)</f>
        <v>420.83333333333331</v>
      </c>
      <c r="AI4" s="5">
        <f>AVERAGE(AI3:AM3)</f>
        <v>420.2</v>
      </c>
      <c r="AJ4" s="5">
        <f>AVERAGE(AJ3:AM3)</f>
        <v>420.25</v>
      </c>
      <c r="AK4" s="5">
        <f>AVERAGE(AK3:AM3)</f>
        <v>420.33333333333331</v>
      </c>
      <c r="AL4" s="5">
        <f>AVERAGE(AL3:AM3)</f>
        <v>419</v>
      </c>
      <c r="AM4" s="5">
        <f>AVERAGE(AM3:AM3)</f>
        <v>421</v>
      </c>
      <c r="AN4" s="5">
        <f>AVERAGE(AN3:AX3)</f>
        <v>442.54545454545456</v>
      </c>
      <c r="AO4" s="5">
        <f>AVERAGE(AO3:AX3)</f>
        <v>441.7</v>
      </c>
      <c r="AP4" s="5">
        <f>AVERAGE(AP3:AX3)</f>
        <v>441.22222222222223</v>
      </c>
      <c r="AQ4" s="5">
        <f>AVERAGE(AQ3:AX3)</f>
        <v>441.25</v>
      </c>
      <c r="AR4" s="5">
        <f>AVERAGE(AR3:AX3)</f>
        <v>441.57142857142856</v>
      </c>
      <c r="AS4" s="5">
        <f>AVERAGE(AS3:AX3)</f>
        <v>443.33333333333331</v>
      </c>
      <c r="AT4" s="5">
        <f>AVERAGE(AT3:AX3)</f>
        <v>444</v>
      </c>
      <c r="AU4" s="5">
        <f>AVERAGE(AU3:AX3)</f>
        <v>443.75</v>
      </c>
      <c r="AV4" s="5">
        <f>AVERAGE(AV3:AX3)</f>
        <v>444.66666666666669</v>
      </c>
      <c r="AW4" s="5">
        <f>AVERAGE(AW3:AX3)</f>
        <v>445</v>
      </c>
      <c r="AX4" s="5">
        <f>+AX3</f>
        <v>449</v>
      </c>
      <c r="AY4" s="5">
        <f>AVERAGE(AZ3:BJ3)</f>
        <v>432.36363636363637</v>
      </c>
      <c r="AZ4" s="5">
        <f>AVERAGE(AZ3:BJ3)</f>
        <v>432.36363636363637</v>
      </c>
      <c r="BA4" s="5">
        <f>AVERAGE(BA3:BJ3)</f>
        <v>431.8</v>
      </c>
      <c r="BB4" s="5">
        <f>AVERAGE(BB3:BJ3)</f>
        <v>431.22222222222223</v>
      </c>
      <c r="BC4" s="5">
        <f>AVERAGE(BC3:BJ3)</f>
        <v>430.75</v>
      </c>
      <c r="BD4" s="5">
        <f>AVERAGE(BD3:BJ3)</f>
        <v>430.42857142857144</v>
      </c>
      <c r="BE4" s="5">
        <f>AVERAGE(BE3:BJ3)</f>
        <v>430.16666666666669</v>
      </c>
      <c r="BF4" s="5">
        <f>AVERAGE(BF3:BJ3)</f>
        <v>430.2</v>
      </c>
      <c r="BG4" s="5">
        <f>AVERAGE(BG3:BJ3)</f>
        <v>430.75</v>
      </c>
      <c r="BH4" s="5">
        <f>AVERAGE(BH3:BI3)</f>
        <v>427</v>
      </c>
      <c r="BI4" s="5">
        <f>AVERAGE(BI3:BJ3)</f>
        <v>433.5</v>
      </c>
      <c r="BJ4">
        <f>+BJ3</f>
        <v>439</v>
      </c>
    </row>
    <row r="5" spans="1:67">
      <c r="C5" t="s">
        <v>19</v>
      </c>
      <c r="D5">
        <v>415</v>
      </c>
      <c r="E5">
        <v>415</v>
      </c>
      <c r="F5">
        <v>415</v>
      </c>
      <c r="G5">
        <v>415</v>
      </c>
      <c r="H5">
        <v>415</v>
      </c>
      <c r="I5">
        <v>415</v>
      </c>
      <c r="J5">
        <v>415</v>
      </c>
      <c r="K5">
        <v>415</v>
      </c>
      <c r="L5">
        <v>415</v>
      </c>
      <c r="M5">
        <v>415</v>
      </c>
      <c r="N5">
        <v>415</v>
      </c>
      <c r="O5">
        <v>415</v>
      </c>
      <c r="P5">
        <v>415</v>
      </c>
      <c r="Q5">
        <v>415</v>
      </c>
      <c r="R5">
        <v>415</v>
      </c>
      <c r="S5">
        <v>415</v>
      </c>
      <c r="T5">
        <v>415</v>
      </c>
      <c r="U5">
        <v>415</v>
      </c>
      <c r="V5">
        <v>415</v>
      </c>
      <c r="W5">
        <v>415</v>
      </c>
      <c r="X5">
        <v>415</v>
      </c>
      <c r="Y5">
        <v>415</v>
      </c>
      <c r="Z5">
        <v>415</v>
      </c>
      <c r="AA5">
        <v>415</v>
      </c>
      <c r="AB5">
        <v>445</v>
      </c>
      <c r="AC5">
        <v>445</v>
      </c>
      <c r="AD5">
        <v>445</v>
      </c>
      <c r="AE5">
        <v>445</v>
      </c>
      <c r="AF5">
        <v>445</v>
      </c>
      <c r="AG5">
        <v>445</v>
      </c>
      <c r="AH5">
        <v>445</v>
      </c>
      <c r="AI5">
        <v>445</v>
      </c>
      <c r="AJ5">
        <v>445</v>
      </c>
      <c r="AK5">
        <v>445</v>
      </c>
      <c r="AL5">
        <v>445</v>
      </c>
      <c r="AM5">
        <v>445</v>
      </c>
      <c r="AN5">
        <v>461</v>
      </c>
      <c r="AO5">
        <v>461</v>
      </c>
      <c r="AP5">
        <v>461</v>
      </c>
      <c r="AQ5">
        <v>461</v>
      </c>
      <c r="AR5">
        <v>461</v>
      </c>
      <c r="AS5">
        <v>461</v>
      </c>
      <c r="AT5">
        <v>461</v>
      </c>
      <c r="AU5">
        <v>461</v>
      </c>
      <c r="AV5">
        <v>461</v>
      </c>
      <c r="AW5">
        <v>461</v>
      </c>
      <c r="AX5">
        <v>461</v>
      </c>
      <c r="AY5">
        <v>460</v>
      </c>
      <c r="AZ5">
        <v>460</v>
      </c>
      <c r="BA5">
        <v>460</v>
      </c>
      <c r="BB5">
        <v>460</v>
      </c>
      <c r="BC5">
        <v>460</v>
      </c>
      <c r="BD5">
        <v>460</v>
      </c>
      <c r="BE5">
        <v>460</v>
      </c>
      <c r="BF5">
        <v>460</v>
      </c>
      <c r="BG5">
        <v>460</v>
      </c>
      <c r="BH5">
        <v>460</v>
      </c>
      <c r="BI5">
        <v>460</v>
      </c>
      <c r="BJ5">
        <v>460</v>
      </c>
    </row>
    <row r="6" spans="1:67">
      <c r="C6" t="s">
        <v>21</v>
      </c>
      <c r="D6" s="5">
        <f t="shared" ref="D6:E6" si="0">+D4-D5</f>
        <v>-39.583333333333314</v>
      </c>
      <c r="E6" s="5">
        <f t="shared" si="0"/>
        <v>-38.181818181818187</v>
      </c>
      <c r="F6" s="5">
        <f t="shared" ref="F6:G6" si="1">+F4-F5</f>
        <v>-36.5</v>
      </c>
      <c r="G6" s="5">
        <f t="shared" si="1"/>
        <v>-34.777777777777771</v>
      </c>
      <c r="H6" s="5">
        <f t="shared" ref="H6:I6" si="2">+H4-H5</f>
        <v>-33.625</v>
      </c>
      <c r="I6" s="5">
        <f t="shared" si="2"/>
        <v>-33.142857142857167</v>
      </c>
      <c r="J6" s="5">
        <f t="shared" ref="J6:K6" si="3">+J4-J5</f>
        <v>-31.833333333333314</v>
      </c>
      <c r="K6" s="5">
        <f t="shared" si="3"/>
        <v>-30.199999999999989</v>
      </c>
      <c r="L6" s="5">
        <f t="shared" ref="L6:M6" si="4">+L4-L5</f>
        <v>-28</v>
      </c>
      <c r="M6" s="5">
        <f t="shared" si="4"/>
        <v>-26.666666666666686</v>
      </c>
      <c r="N6" s="5">
        <f t="shared" ref="N6:O6" si="5">+N4-N5</f>
        <v>-26</v>
      </c>
      <c r="O6" s="5">
        <f t="shared" si="5"/>
        <v>-23</v>
      </c>
      <c r="P6" s="5">
        <f t="shared" ref="P6:BJ6" si="6">+P4-P5</f>
        <v>-18.666666666666686</v>
      </c>
      <c r="Q6" s="5">
        <f t="shared" si="6"/>
        <v>-19.454545454545439</v>
      </c>
      <c r="R6" s="5">
        <f t="shared" si="6"/>
        <v>-20.600000000000023</v>
      </c>
      <c r="S6" s="5">
        <f t="shared" si="6"/>
        <v>-21.111111111111086</v>
      </c>
      <c r="T6" s="5">
        <f t="shared" si="6"/>
        <v>-21.375</v>
      </c>
      <c r="U6" s="5">
        <f t="shared" si="6"/>
        <v>-21.714285714285722</v>
      </c>
      <c r="V6" s="5">
        <f t="shared" si="6"/>
        <v>-22.333333333333314</v>
      </c>
      <c r="W6" s="5">
        <f t="shared" si="6"/>
        <v>-23.800000000000011</v>
      </c>
      <c r="X6" s="5">
        <f t="shared" si="6"/>
        <v>-24.75</v>
      </c>
      <c r="Y6" s="5">
        <f t="shared" si="6"/>
        <v>-23.666666666666686</v>
      </c>
      <c r="Z6" s="5">
        <f t="shared" si="6"/>
        <v>-20.5</v>
      </c>
      <c r="AA6" s="5">
        <f t="shared" si="6"/>
        <v>-18</v>
      </c>
      <c r="AB6" s="5">
        <f t="shared" si="6"/>
        <v>-24.333333333333314</v>
      </c>
      <c r="AC6" s="5">
        <f t="shared" si="6"/>
        <v>-24.090909090909065</v>
      </c>
      <c r="AD6" s="5">
        <f t="shared" si="6"/>
        <v>-23.699999999999989</v>
      </c>
      <c r="AE6" s="5">
        <f t="shared" si="6"/>
        <v>-23.666666666666686</v>
      </c>
      <c r="AF6" s="5">
        <f t="shared" si="6"/>
        <v>-24.25</v>
      </c>
      <c r="AG6" s="5">
        <f t="shared" si="6"/>
        <v>-23.714285714285722</v>
      </c>
      <c r="AH6" s="5">
        <f t="shared" si="6"/>
        <v>-24.166666666666686</v>
      </c>
      <c r="AI6" s="5">
        <f t="shared" si="6"/>
        <v>-24.800000000000011</v>
      </c>
      <c r="AJ6" s="5">
        <f t="shared" si="6"/>
        <v>-24.75</v>
      </c>
      <c r="AK6" s="5">
        <f t="shared" si="6"/>
        <v>-24.666666666666686</v>
      </c>
      <c r="AL6" s="5">
        <f t="shared" si="6"/>
        <v>-26</v>
      </c>
      <c r="AM6" s="5">
        <f t="shared" si="6"/>
        <v>-24</v>
      </c>
      <c r="AN6" s="5">
        <f t="shared" si="6"/>
        <v>-18.454545454545439</v>
      </c>
      <c r="AO6" s="5">
        <f t="shared" si="6"/>
        <v>-19.300000000000011</v>
      </c>
      <c r="AP6" s="5">
        <f t="shared" si="6"/>
        <v>-19.777777777777771</v>
      </c>
      <c r="AQ6" s="5">
        <f t="shared" si="6"/>
        <v>-19.75</v>
      </c>
      <c r="AR6" s="5">
        <f t="shared" si="6"/>
        <v>-19.428571428571445</v>
      </c>
      <c r="AS6" s="5">
        <f t="shared" si="6"/>
        <v>-17.666666666666686</v>
      </c>
      <c r="AT6" s="5">
        <f t="shared" si="6"/>
        <v>-17</v>
      </c>
      <c r="AU6" s="5">
        <f t="shared" si="6"/>
        <v>-17.25</v>
      </c>
      <c r="AV6" s="5">
        <f t="shared" si="6"/>
        <v>-16.333333333333314</v>
      </c>
      <c r="AW6" s="5">
        <f t="shared" si="6"/>
        <v>-16</v>
      </c>
      <c r="AX6" s="5">
        <f t="shared" si="6"/>
        <v>-12</v>
      </c>
      <c r="AY6" s="5">
        <f t="shared" si="6"/>
        <v>-27.636363636363626</v>
      </c>
      <c r="AZ6" s="5">
        <f t="shared" si="6"/>
        <v>-27.636363636363626</v>
      </c>
      <c r="BA6" s="5">
        <f t="shared" si="6"/>
        <v>-28.199999999999989</v>
      </c>
      <c r="BB6" s="5">
        <f t="shared" si="6"/>
        <v>-28.777777777777771</v>
      </c>
      <c r="BC6" s="5">
        <f t="shared" si="6"/>
        <v>-29.25</v>
      </c>
      <c r="BD6" s="5">
        <f t="shared" si="6"/>
        <v>-29.571428571428555</v>
      </c>
      <c r="BE6" s="5">
        <f t="shared" si="6"/>
        <v>-29.833333333333314</v>
      </c>
      <c r="BF6" s="5">
        <f t="shared" si="6"/>
        <v>-29.800000000000011</v>
      </c>
      <c r="BG6" s="5">
        <f t="shared" si="6"/>
        <v>-29.25</v>
      </c>
      <c r="BH6" s="5">
        <f t="shared" si="6"/>
        <v>-33</v>
      </c>
      <c r="BI6" s="5">
        <f t="shared" si="6"/>
        <v>-26.5</v>
      </c>
      <c r="BJ6" s="5">
        <f t="shared" si="6"/>
        <v>-21</v>
      </c>
    </row>
    <row r="7" spans="1:67">
      <c r="C7" t="s">
        <v>23</v>
      </c>
      <c r="D7" s="7">
        <f t="shared" ref="D7" si="7">+D6*192</f>
        <v>-7599.9999999999964</v>
      </c>
      <c r="E7" s="7">
        <f t="shared" ref="E7:F7" si="8">+E6*192</f>
        <v>-7330.9090909090919</v>
      </c>
      <c r="F7" s="7">
        <f t="shared" si="8"/>
        <v>-7008</v>
      </c>
      <c r="G7" s="7">
        <f t="shared" ref="G7:H7" si="9">+G6*192</f>
        <v>-6677.3333333333321</v>
      </c>
      <c r="H7" s="7">
        <f t="shared" si="9"/>
        <v>-6456</v>
      </c>
      <c r="I7" s="7">
        <f t="shared" ref="I7:O7" si="10">+I6*192</f>
        <v>-6363.4285714285761</v>
      </c>
      <c r="J7" s="7">
        <f t="shared" si="10"/>
        <v>-6111.9999999999964</v>
      </c>
      <c r="K7" s="7">
        <f t="shared" si="10"/>
        <v>-5798.3999999999978</v>
      </c>
      <c r="L7" s="7">
        <f t="shared" si="10"/>
        <v>-5376</v>
      </c>
      <c r="M7" s="7">
        <f t="shared" si="10"/>
        <v>-5120.0000000000036</v>
      </c>
      <c r="N7" s="7">
        <f t="shared" si="10"/>
        <v>-4992</v>
      </c>
      <c r="O7" s="7">
        <f t="shared" si="10"/>
        <v>-4416</v>
      </c>
      <c r="P7" s="7">
        <f t="shared" ref="P7:BJ7" si="11">+P6*168</f>
        <v>-3136.0000000000032</v>
      </c>
      <c r="Q7" s="7">
        <f t="shared" si="11"/>
        <v>-3268.3636363636338</v>
      </c>
      <c r="R7" s="7">
        <f t="shared" si="11"/>
        <v>-3460.8000000000038</v>
      </c>
      <c r="S7" s="7">
        <f t="shared" si="11"/>
        <v>-3546.6666666666624</v>
      </c>
      <c r="T7" s="7">
        <f t="shared" si="11"/>
        <v>-3591</v>
      </c>
      <c r="U7" s="7">
        <f t="shared" si="11"/>
        <v>-3648.0000000000014</v>
      </c>
      <c r="V7" s="7">
        <f t="shared" si="11"/>
        <v>-3751.9999999999968</v>
      </c>
      <c r="W7" s="7">
        <f t="shared" si="11"/>
        <v>-3998.4000000000019</v>
      </c>
      <c r="X7" s="7">
        <f t="shared" si="11"/>
        <v>-4158</v>
      </c>
      <c r="Y7" s="7">
        <f t="shared" si="11"/>
        <v>-3976.0000000000032</v>
      </c>
      <c r="Z7" s="7">
        <f t="shared" si="11"/>
        <v>-3444</v>
      </c>
      <c r="AA7" s="7">
        <f t="shared" si="11"/>
        <v>-3024</v>
      </c>
      <c r="AB7" s="7">
        <f t="shared" si="11"/>
        <v>-4087.9999999999968</v>
      </c>
      <c r="AC7" s="7">
        <f t="shared" si="11"/>
        <v>-4047.2727272727229</v>
      </c>
      <c r="AD7" s="7">
        <f t="shared" si="11"/>
        <v>-3981.5999999999981</v>
      </c>
      <c r="AE7" s="7">
        <f t="shared" si="11"/>
        <v>-3976.0000000000032</v>
      </c>
      <c r="AF7" s="7">
        <f t="shared" si="11"/>
        <v>-4074</v>
      </c>
      <c r="AG7" s="7">
        <f t="shared" si="11"/>
        <v>-3984.0000000000014</v>
      </c>
      <c r="AH7" s="7">
        <f t="shared" si="11"/>
        <v>-4060.0000000000032</v>
      </c>
      <c r="AI7" s="7">
        <f t="shared" si="11"/>
        <v>-4166.4000000000015</v>
      </c>
      <c r="AJ7" s="7">
        <f t="shared" si="11"/>
        <v>-4158</v>
      </c>
      <c r="AK7" s="7">
        <f t="shared" si="11"/>
        <v>-4144.0000000000036</v>
      </c>
      <c r="AL7" s="7">
        <f t="shared" si="11"/>
        <v>-4368</v>
      </c>
      <c r="AM7" s="7">
        <f t="shared" si="11"/>
        <v>-4032</v>
      </c>
      <c r="AN7" s="7">
        <f t="shared" si="11"/>
        <v>-3100.3636363636338</v>
      </c>
      <c r="AO7" s="7">
        <f t="shared" si="11"/>
        <v>-3242.4000000000019</v>
      </c>
      <c r="AP7" s="7">
        <f t="shared" si="11"/>
        <v>-3322.6666666666656</v>
      </c>
      <c r="AQ7" s="7">
        <f t="shared" si="11"/>
        <v>-3318</v>
      </c>
      <c r="AR7" s="7">
        <f t="shared" si="11"/>
        <v>-3264.0000000000027</v>
      </c>
      <c r="AS7" s="7">
        <f t="shared" si="11"/>
        <v>-2968.0000000000032</v>
      </c>
      <c r="AT7" s="7">
        <f t="shared" si="11"/>
        <v>-2856</v>
      </c>
      <c r="AU7" s="7">
        <f t="shared" si="11"/>
        <v>-2898</v>
      </c>
      <c r="AV7" s="7">
        <f t="shared" si="11"/>
        <v>-2743.9999999999968</v>
      </c>
      <c r="AW7" s="7">
        <f t="shared" si="11"/>
        <v>-2688</v>
      </c>
      <c r="AX7" s="7">
        <f t="shared" si="11"/>
        <v>-2016</v>
      </c>
      <c r="AY7" s="7">
        <f t="shared" si="11"/>
        <v>-4642.9090909090892</v>
      </c>
      <c r="AZ7" s="7">
        <f t="shared" si="11"/>
        <v>-4642.9090909090892</v>
      </c>
      <c r="BA7" s="7">
        <f t="shared" si="11"/>
        <v>-4737.5999999999985</v>
      </c>
      <c r="BB7" s="7">
        <f t="shared" si="11"/>
        <v>-4834.6666666666661</v>
      </c>
      <c r="BC7" s="7">
        <f t="shared" si="11"/>
        <v>-4914</v>
      </c>
      <c r="BD7" s="7">
        <f t="shared" si="11"/>
        <v>-4967.9999999999973</v>
      </c>
      <c r="BE7" s="7">
        <f t="shared" si="11"/>
        <v>-5011.9999999999964</v>
      </c>
      <c r="BF7" s="7">
        <f t="shared" si="11"/>
        <v>-5006.4000000000015</v>
      </c>
      <c r="BG7" s="7">
        <f t="shared" si="11"/>
        <v>-4914</v>
      </c>
      <c r="BH7" s="7">
        <f t="shared" si="11"/>
        <v>-5544</v>
      </c>
      <c r="BI7" s="7">
        <f t="shared" si="11"/>
        <v>-4452</v>
      </c>
      <c r="BJ7" s="7">
        <f t="shared" si="11"/>
        <v>-3528</v>
      </c>
    </row>
    <row r="9" spans="1:67">
      <c r="C9" t="s">
        <v>25</v>
      </c>
      <c r="D9" s="13">
        <f>(137306.14-67877.92-20200-30214)</f>
        <v>19014.220000000016</v>
      </c>
      <c r="E9" s="13">
        <f>(136448.28-67877.92-20200-30114)</f>
        <v>18256.36</v>
      </c>
      <c r="F9" s="13">
        <f>(134507.89-67669.92-20125-30114)</f>
        <v>16598.970000000016</v>
      </c>
      <c r="G9" s="13">
        <f>(132419.84-67269.92-20000-30114)</f>
        <v>15035.919999999998</v>
      </c>
      <c r="H9" s="13">
        <f>(130087.57-66753.17-19687.5-30114)</f>
        <v>13532.900000000009</v>
      </c>
      <c r="I9" s="13">
        <f>(127052.36-65745.17-19381.63-30114)</f>
        <v>11811.559999999998</v>
      </c>
      <c r="J9" s="13">
        <f>(123915.64-30114-18875-64465.17)</f>
        <v>10461.470000000001</v>
      </c>
      <c r="K9" s="13">
        <f>(119400.68-30114-17675-62689.17)</f>
        <v>8922.5099999999948</v>
      </c>
      <c r="L9" s="13">
        <f>(115089.98-30114-16637.5-60369.17)</f>
        <v>7969.3099999999977</v>
      </c>
      <c r="M9" s="13">
        <f>(104401.99-24697-15950-57627.17)</f>
        <v>6127.820000000007</v>
      </c>
      <c r="N9" s="13">
        <f>(77385.8-5317-14845.47-52892.33)</f>
        <v>4331</v>
      </c>
      <c r="O9" s="13">
        <f>(62340.33-13675-46824.33)</f>
        <v>1841</v>
      </c>
      <c r="P9" s="13">
        <f>(154801.49-68573.91-39133-19800)</f>
        <v>27294.579999999987</v>
      </c>
      <c r="Q9" s="13">
        <f>(153315.22-68538.91-39133-19950)</f>
        <v>25693.309999999998</v>
      </c>
      <c r="R9" s="13">
        <f>(151296.12-68272.91-39133-19762.5)</f>
        <v>24127.709999999992</v>
      </c>
      <c r="S9" s="13">
        <f>(147112.31-67824.91-39133-19550)</f>
        <v>20604.399999999994</v>
      </c>
      <c r="T9" s="13">
        <f>(142407.77-39133-66893.91-19387.5)</f>
        <v>16993.359999999986</v>
      </c>
      <c r="U9" s="13">
        <f>(139856.59-39133-66263.91-19062.5)</f>
        <v>15397.179999999993</v>
      </c>
      <c r="V9" s="13">
        <f>(136007.43-39133-64842.16-18587.5)</f>
        <v>13444.76999999999</v>
      </c>
      <c r="W9" s="13">
        <f>(131771.28-63099-39133-17437.5)</f>
        <v>12101.779999999999</v>
      </c>
      <c r="X9" s="13">
        <f>(125494.11-39091-60656.16-16737.5)</f>
        <v>9009.4499999999971</v>
      </c>
      <c r="Y9" s="13">
        <f>(111292.57-57086.5-15950-31766)</f>
        <v>6490.070000000007</v>
      </c>
      <c r="Z9" s="13">
        <f>(80242.26-8204-15400-52420.59)</f>
        <v>4217.6699999999983</v>
      </c>
      <c r="AA9" s="13">
        <f>(64009.71-13787.5-47447.59)</f>
        <v>2774.6200000000026</v>
      </c>
      <c r="AB9" s="16">
        <v>31472.04</v>
      </c>
      <c r="AC9" s="16">
        <v>30311.14</v>
      </c>
      <c r="AD9" s="16">
        <v>28557.37</v>
      </c>
      <c r="AE9" s="16">
        <v>27103.56</v>
      </c>
      <c r="AF9" s="16">
        <v>24629.8</v>
      </c>
      <c r="AG9" s="1">
        <f>152288.03-70003.48-19432.5-39847</f>
        <v>23005.050000000003</v>
      </c>
      <c r="AH9" s="1">
        <f>147875.59-39847-68561.48-18545</f>
        <v>20922.11</v>
      </c>
      <c r="AI9" s="1">
        <f>137852.19-67063.48-17420-36040</f>
        <v>17328.710000000006</v>
      </c>
      <c r="AJ9" s="1">
        <f>127375.56-29573-65297.23-17057.5</f>
        <v>15447.829999999994</v>
      </c>
      <c r="AK9" s="1">
        <f>100592.34-62570.56-16307.5-8244</f>
        <v>13470.279999999999</v>
      </c>
      <c r="AL9" s="1">
        <f>80791.57-56664.15-15745</f>
        <v>8382.4200000000055</v>
      </c>
      <c r="AM9" s="1">
        <f>70654.5-14395-50670.65</f>
        <v>5588.8499999999985</v>
      </c>
      <c r="AN9" s="1">
        <f>186541.69-50742-73758.84-21200</f>
        <v>40840.850000000006</v>
      </c>
      <c r="AO9" s="1">
        <f>179593.44-50742-73555.84-21187.5</f>
        <v>34108.100000000006</v>
      </c>
      <c r="AP9" s="1">
        <f>168214.77-73037.84-21062.5-50742</f>
        <v>23372.429999999993</v>
      </c>
      <c r="AQ9" s="1">
        <f>165275.02-50742-72421.84-20762.5</f>
        <v>21348.679999999993</v>
      </c>
      <c r="AR9" s="1">
        <f>161997.84-50677-20625-71189.84</f>
        <v>19506</v>
      </c>
      <c r="AS9" s="1">
        <f>158489.58-50677-69999.84-19787.5</f>
        <v>18025.239999999991</v>
      </c>
      <c r="AT9" s="1">
        <f>152773.52-18587.5-68899.94-49811</f>
        <v>15475.079999999987</v>
      </c>
      <c r="AU9" s="1">
        <f>142850.75-43480-66953.84-18050</f>
        <v>14366.910000000003</v>
      </c>
      <c r="AV9" s="1">
        <f>117858.96-25433-64007.84-17262.5</f>
        <v>11155.62000000001</v>
      </c>
      <c r="AW9" s="1">
        <f>103380.46-19355-60530.17-16575</f>
        <v>6920.2900000000081</v>
      </c>
      <c r="AX9" s="1">
        <f>91409.49-17515-53484.25-14875</f>
        <v>5535.2400000000052</v>
      </c>
      <c r="BO9" t="s">
        <v>26</v>
      </c>
    </row>
    <row r="10" spans="1:67">
      <c r="C10" t="s">
        <v>45</v>
      </c>
      <c r="D10" s="14">
        <f>(173742-84165-20000-44486)/12*12</f>
        <v>25091</v>
      </c>
      <c r="E10" s="14">
        <f>(173742-84165-20000-44486)/12*11</f>
        <v>23000.083333333332</v>
      </c>
      <c r="F10" s="14">
        <f>(173742-84165-20000-44486)/12*10</f>
        <v>20909.166666666664</v>
      </c>
      <c r="G10" s="14">
        <f>(173742-84165-20000-44486)/12*9</f>
        <v>18818.25</v>
      </c>
      <c r="H10" s="14">
        <f>(173742-84165-20000-44486)/12*8</f>
        <v>16727.333333333332</v>
      </c>
      <c r="I10" s="14">
        <f>(173742-84165-20000-44486)/12*7</f>
        <v>14636.416666666666</v>
      </c>
      <c r="J10" s="14">
        <f>(173742-84165-20000-44486)/12*6</f>
        <v>12545.5</v>
      </c>
      <c r="K10" s="14">
        <f>(173742-84165-20000-44486)/12*5</f>
        <v>10454.583333333332</v>
      </c>
      <c r="L10" s="14">
        <f>(173742-84165-20000-44486)/12*4</f>
        <v>8363.6666666666661</v>
      </c>
      <c r="M10" s="14">
        <f>(173742-84165-20000-44486)/12*3</f>
        <v>6272.75</v>
      </c>
      <c r="N10" s="14">
        <f>(173742-84165-20000-44486)/12*2</f>
        <v>4181.833333333333</v>
      </c>
      <c r="O10" s="14">
        <f>(173742-84165-20000-44486)/12*1</f>
        <v>2090.9166666666665</v>
      </c>
      <c r="P10" s="14">
        <f>(161708-73902-42162-20000)/12*12</f>
        <v>25644</v>
      </c>
      <c r="Q10" s="14">
        <f>(161708-73902-42162-20000)/12*11</f>
        <v>23507</v>
      </c>
      <c r="R10" s="14">
        <f>(161708-73902-42162-20000)/12*10</f>
        <v>21370</v>
      </c>
      <c r="S10" s="14">
        <f>(161708-73902-42162-20000)/12*9</f>
        <v>19233</v>
      </c>
      <c r="T10" s="14">
        <f>(161708-73902-42162-20000)/12*8</f>
        <v>17096</v>
      </c>
      <c r="U10" s="14">
        <f>(161708-73902-42162-20000)/12*7</f>
        <v>14959</v>
      </c>
      <c r="V10" s="14">
        <f>(161708-73902-42162-20000)/12*6</f>
        <v>12822</v>
      </c>
      <c r="W10" s="14">
        <f>(161708-73902-42162-20000)/12*5</f>
        <v>10685</v>
      </c>
      <c r="X10" s="14">
        <f>(161708-73902-42162-20000)/12*4</f>
        <v>8548</v>
      </c>
      <c r="Y10" s="14">
        <f>(161708-73902-42162-20000)/12*3</f>
        <v>6411</v>
      </c>
      <c r="Z10" s="14">
        <f>(161708-73902-42162-20000)/12*2</f>
        <v>4274</v>
      </c>
      <c r="AA10" s="14">
        <f>(161708-73902-42162-20000)/12*1</f>
        <v>2137</v>
      </c>
      <c r="AB10" s="15">
        <f>(174743-45101-78942-20000)/12*12</f>
        <v>30700</v>
      </c>
      <c r="AC10" s="15">
        <f>(174743-45101-78942-20000)/12*11</f>
        <v>28141.666666666668</v>
      </c>
      <c r="AD10" s="15">
        <f>(174743-45101-78942-20000)/12*10</f>
        <v>25583.333333333336</v>
      </c>
      <c r="AE10" s="15">
        <f>(174743-45101-78942-20000)/12*9</f>
        <v>23025</v>
      </c>
      <c r="AF10" s="15">
        <f>(174743-45101-78942-20000)/12*8</f>
        <v>20466.666666666668</v>
      </c>
      <c r="AG10" s="1">
        <f>(174743-45101-78942-20000)/12*7</f>
        <v>17908.333333333336</v>
      </c>
      <c r="AH10" s="1">
        <f>(174743-45101-78942-20000)/12*6</f>
        <v>15350</v>
      </c>
      <c r="AI10" s="1">
        <f>(174743-45101-78942-20000)/12*5</f>
        <v>12791.666666666668</v>
      </c>
      <c r="AJ10" s="1">
        <f>(174743-45101-78942-20000)/12*4</f>
        <v>10233.333333333334</v>
      </c>
      <c r="AK10" s="1">
        <f>(174743-45101-78942-20000)/12*3</f>
        <v>7675</v>
      </c>
      <c r="AL10" s="1">
        <f>(174743-45101-78942-20000)/12*2</f>
        <v>5116.666666666667</v>
      </c>
      <c r="AM10" s="1">
        <f>(174743-45101-78942-20000)/12</f>
        <v>2558.3333333333335</v>
      </c>
      <c r="AN10" s="1">
        <f>(58217-18000)/12*11</f>
        <v>36865.583333333328</v>
      </c>
      <c r="AO10" s="1">
        <f>(58217-18000)/12*10</f>
        <v>33514.166666666664</v>
      </c>
      <c r="AP10" s="1">
        <f>(58217-18000)/12*9</f>
        <v>30162.75</v>
      </c>
      <c r="AQ10" s="1">
        <f>(58217-18000)/12*8</f>
        <v>26811.333333333332</v>
      </c>
      <c r="AR10" s="1">
        <f>(58217-18000)/12*7</f>
        <v>23459.916666666664</v>
      </c>
      <c r="AS10" s="1">
        <f>(58217-18000)/12*6</f>
        <v>20108.5</v>
      </c>
      <c r="AT10" s="1">
        <f>(58217-18000)/12*5</f>
        <v>16757.083333333332</v>
      </c>
      <c r="AU10" s="1">
        <f>(58217-18000)/12*4</f>
        <v>13405.666666666666</v>
      </c>
      <c r="AV10" s="1">
        <f>(58217-18000)/12*3</f>
        <v>10054.25</v>
      </c>
      <c r="AW10" s="1">
        <f>(58217-18000)/12*2</f>
        <v>6702.833333333333</v>
      </c>
      <c r="AX10" s="1">
        <f>(58217-18000)/12</f>
        <v>3351.4166666666665</v>
      </c>
    </row>
    <row r="11" spans="1:67">
      <c r="C11" t="s">
        <v>29</v>
      </c>
      <c r="D11" s="7">
        <f t="shared" ref="D11:E11" si="12">+D9-D10</f>
        <v>-6076.7799999999843</v>
      </c>
      <c r="E11" s="7">
        <f t="shared" si="12"/>
        <v>-4743.7233333333315</v>
      </c>
      <c r="F11" s="7">
        <f t="shared" ref="F11:G11" si="13">+F9-F10</f>
        <v>-4310.1966666666485</v>
      </c>
      <c r="G11" s="7">
        <f t="shared" si="13"/>
        <v>-3782.3300000000017</v>
      </c>
      <c r="H11" s="7">
        <f t="shared" ref="H11:I11" si="14">+H9-H10</f>
        <v>-3194.4333333333234</v>
      </c>
      <c r="I11" s="7">
        <f t="shared" si="14"/>
        <v>-2824.8566666666684</v>
      </c>
      <c r="J11" s="7">
        <f t="shared" ref="J11:K11" si="15">+J9-J10</f>
        <v>-2084.0299999999988</v>
      </c>
      <c r="K11" s="7">
        <f t="shared" si="15"/>
        <v>-1532.0733333333374</v>
      </c>
      <c r="L11" s="7">
        <f t="shared" ref="L11:M11" si="16">+L9-L10</f>
        <v>-394.35666666666839</v>
      </c>
      <c r="M11" s="7">
        <f t="shared" si="16"/>
        <v>-144.92999999999302</v>
      </c>
      <c r="N11" s="7">
        <f t="shared" ref="N11:O11" si="17">+N9-N10</f>
        <v>149.16666666666697</v>
      </c>
      <c r="O11" s="7">
        <f t="shared" si="17"/>
        <v>-249.91666666666652</v>
      </c>
      <c r="P11" s="7">
        <f t="shared" ref="P11:AX11" si="18">+P9-P10</f>
        <v>1650.5799999999872</v>
      </c>
      <c r="Q11" s="7">
        <f t="shared" si="18"/>
        <v>2186.3099999999977</v>
      </c>
      <c r="R11" s="7">
        <f t="shared" si="18"/>
        <v>2757.7099999999919</v>
      </c>
      <c r="S11" s="7">
        <f t="shared" si="18"/>
        <v>1371.3999999999942</v>
      </c>
      <c r="T11" s="7">
        <f t="shared" si="18"/>
        <v>-102.64000000001397</v>
      </c>
      <c r="U11" s="7">
        <f t="shared" si="18"/>
        <v>438.17999999999302</v>
      </c>
      <c r="V11" s="7">
        <f t="shared" si="18"/>
        <v>622.76999999998952</v>
      </c>
      <c r="W11" s="7">
        <f t="shared" si="18"/>
        <v>1416.7799999999988</v>
      </c>
      <c r="X11" s="7">
        <f t="shared" si="18"/>
        <v>461.44999999999709</v>
      </c>
      <c r="Y11" s="7">
        <f t="shared" si="18"/>
        <v>79.070000000006985</v>
      </c>
      <c r="Z11" s="7">
        <f t="shared" si="18"/>
        <v>-56.330000000001746</v>
      </c>
      <c r="AA11" s="7">
        <f t="shared" si="18"/>
        <v>637.62000000000262</v>
      </c>
      <c r="AB11" s="7">
        <f t="shared" si="18"/>
        <v>772.04000000000087</v>
      </c>
      <c r="AC11" s="7">
        <f t="shared" si="18"/>
        <v>2169.4733333333315</v>
      </c>
      <c r="AD11" s="7">
        <f t="shared" si="18"/>
        <v>2974.0366666666632</v>
      </c>
      <c r="AE11" s="7">
        <f t="shared" si="18"/>
        <v>4078.5600000000013</v>
      </c>
      <c r="AF11" s="7">
        <f t="shared" si="18"/>
        <v>4163.1333333333314</v>
      </c>
      <c r="AG11" s="7">
        <f t="shared" si="18"/>
        <v>5096.7166666666672</v>
      </c>
      <c r="AH11" s="7">
        <f t="shared" si="18"/>
        <v>5572.1100000000006</v>
      </c>
      <c r="AI11" s="7">
        <f t="shared" si="18"/>
        <v>4537.0433333333385</v>
      </c>
      <c r="AJ11" s="7">
        <f t="shared" si="18"/>
        <v>5214.4966666666605</v>
      </c>
      <c r="AK11" s="7">
        <f t="shared" si="18"/>
        <v>5795.2799999999988</v>
      </c>
      <c r="AL11" s="7">
        <f t="shared" si="18"/>
        <v>3265.7533333333386</v>
      </c>
      <c r="AM11" s="7">
        <f t="shared" si="18"/>
        <v>3030.5166666666651</v>
      </c>
      <c r="AN11" s="7">
        <f t="shared" si="18"/>
        <v>3975.2666666666773</v>
      </c>
      <c r="AO11" s="7">
        <f t="shared" si="18"/>
        <v>593.93333333334158</v>
      </c>
      <c r="AP11" s="7">
        <f t="shared" si="18"/>
        <v>-6790.320000000007</v>
      </c>
      <c r="AQ11" s="7">
        <f t="shared" si="18"/>
        <v>-5462.6533333333391</v>
      </c>
      <c r="AR11" s="7">
        <f t="shared" si="18"/>
        <v>-3953.9166666666642</v>
      </c>
      <c r="AS11" s="7">
        <f t="shared" si="18"/>
        <v>-2083.2600000000093</v>
      </c>
      <c r="AT11" s="7">
        <f t="shared" si="18"/>
        <v>-1282.0033333333449</v>
      </c>
      <c r="AU11" s="7">
        <f t="shared" si="18"/>
        <v>961.24333333333743</v>
      </c>
      <c r="AV11" s="7">
        <f t="shared" si="18"/>
        <v>1101.3700000000099</v>
      </c>
      <c r="AW11" s="7">
        <f t="shared" si="18"/>
        <v>217.45666666667512</v>
      </c>
      <c r="AX11" s="7">
        <f t="shared" si="18"/>
        <v>2183.8233333333387</v>
      </c>
    </row>
    <row r="12" spans="1:67"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67">
      <c r="C13" t="s">
        <v>31</v>
      </c>
      <c r="D13" s="14">
        <f>(150305.91-28054.87)</f>
        <v>122251.04000000001</v>
      </c>
      <c r="E13" s="14">
        <f>(138221.17-28054.87)</f>
        <v>110166.30000000002</v>
      </c>
      <c r="F13" s="14">
        <f>(128034.77-28054.87)</f>
        <v>99979.900000000009</v>
      </c>
      <c r="G13" s="14">
        <f>(118919.15-28054.87)</f>
        <v>90864.28</v>
      </c>
      <c r="H13" s="14">
        <f>(108842.82-28054.87)</f>
        <v>80787.950000000012</v>
      </c>
      <c r="I13" s="14">
        <f>(99979.98-28054.87)</f>
        <v>71925.11</v>
      </c>
      <c r="J13" s="14">
        <f>(86616.98-28054.87)</f>
        <v>58562.11</v>
      </c>
      <c r="K13" s="14">
        <f>(77238.59-27981.04)</f>
        <v>49257.549999999996</v>
      </c>
      <c r="L13" s="14">
        <f>(51279.97-11709.7)</f>
        <v>39570.270000000004</v>
      </c>
      <c r="M13" s="14">
        <f>(30585.44-1135.78)</f>
        <v>29449.66</v>
      </c>
      <c r="N13" s="14">
        <f>(21028.39-150)</f>
        <v>20878.39</v>
      </c>
      <c r="O13" s="14">
        <v>11098.15</v>
      </c>
      <c r="P13" s="14">
        <f>(135067.49-23755.84)</f>
        <v>111311.65</v>
      </c>
      <c r="Q13" s="14">
        <f>(125182.71-23755.84)</f>
        <v>101426.87000000001</v>
      </c>
      <c r="R13" s="14">
        <f>(116596.59-23755.84)</f>
        <v>92840.75</v>
      </c>
      <c r="S13" s="14">
        <f>(106649.09-23755.84)</f>
        <v>82893.25</v>
      </c>
      <c r="T13" s="14">
        <f>(96846.84-23755.84)</f>
        <v>73091</v>
      </c>
      <c r="U13" s="14">
        <f>(88425.34-23755.84)</f>
        <v>64669.5</v>
      </c>
      <c r="V13" s="14">
        <f>(77233.86-23755.84)</f>
        <v>53478.020000000004</v>
      </c>
      <c r="W13" s="14">
        <f>(53834.91-8057.02)</f>
        <v>45777.89</v>
      </c>
      <c r="X13" s="14">
        <f>(44391.49-7344.94)</f>
        <v>37046.549999999996</v>
      </c>
      <c r="Y13" s="14">
        <f>(27338.65-1526.32)</f>
        <v>25812.33</v>
      </c>
      <c r="Z13" s="14">
        <f>(19258.71-1288.57)</f>
        <v>17970.14</v>
      </c>
      <c r="AA13" s="14">
        <f>(10649.99-506.65)</f>
        <v>10143.34</v>
      </c>
      <c r="AB13" s="9">
        <v>115540.4</v>
      </c>
      <c r="AC13" s="9">
        <v>104659.05</v>
      </c>
      <c r="AD13" s="9">
        <v>95877.11</v>
      </c>
      <c r="AE13" s="9">
        <v>86530.68</v>
      </c>
      <c r="AF13" s="9">
        <v>78335.34</v>
      </c>
      <c r="AG13" s="1">
        <f>98543.87-28573.11</f>
        <v>69970.759999999995</v>
      </c>
      <c r="AH13" s="1">
        <f>68115.97-9005.62</f>
        <v>59110.35</v>
      </c>
      <c r="AI13" s="1">
        <f>51337.23-2013.16</f>
        <v>49324.07</v>
      </c>
      <c r="AJ13" s="1">
        <f>41173.06-1105.92</f>
        <v>40067.14</v>
      </c>
      <c r="AK13" s="1">
        <f>31849.6-797.94</f>
        <v>31051.66</v>
      </c>
      <c r="AL13" s="1">
        <f>21770.23-197.94</f>
        <v>21572.29</v>
      </c>
      <c r="AM13" s="1">
        <f>13700.23-197.94</f>
        <v>13502.289999999999</v>
      </c>
      <c r="AN13" s="1">
        <f>141771.38-37905.51</f>
        <v>103865.87</v>
      </c>
      <c r="AO13" s="1">
        <f>131940.21-37617.8</f>
        <v>94322.409999999989</v>
      </c>
      <c r="AP13" s="1">
        <f>123167.82-36987</f>
        <v>86180.82</v>
      </c>
      <c r="AQ13" s="1">
        <f>115581.16-36987</f>
        <v>78594.16</v>
      </c>
      <c r="AR13" s="1">
        <f>100991.76-36987</f>
        <v>64004.759999999995</v>
      </c>
      <c r="AS13" s="1">
        <f>89873.8-35301.79</f>
        <v>54572.01</v>
      </c>
      <c r="AT13" s="1">
        <f>57686.79-10566.83</f>
        <v>47119.96</v>
      </c>
      <c r="AU13" s="1">
        <f>46573.23-7698.84</f>
        <v>38874.39</v>
      </c>
      <c r="AV13" s="1">
        <f>35702.89-6835.98</f>
        <v>28866.91</v>
      </c>
      <c r="AW13" s="1">
        <f>15509.91-392.48</f>
        <v>15117.43</v>
      </c>
      <c r="AX13" s="1">
        <f>9727.03-198.3</f>
        <v>9528.7300000000014</v>
      </c>
      <c r="AY13" s="1">
        <f>165283.61-55089.91</f>
        <v>110193.69999999998</v>
      </c>
      <c r="AZ13" s="1">
        <f>154985.88-55089.91</f>
        <v>99895.97</v>
      </c>
      <c r="BA13" s="1">
        <f>147908.73-55089.91</f>
        <v>92818.82</v>
      </c>
      <c r="BB13" s="1">
        <f>137385.94-53318.11</f>
        <v>84067.83</v>
      </c>
      <c r="BC13" s="1">
        <f>129017.7-53318.11</f>
        <v>75699.59</v>
      </c>
      <c r="BD13" s="1">
        <f>120422.8-53318.11</f>
        <v>67104.69</v>
      </c>
      <c r="BE13" s="1">
        <f>110494.93-53318.11</f>
        <v>57176.819999999992</v>
      </c>
      <c r="BF13" s="1">
        <f>102406.75-52731.61</f>
        <v>49675.14</v>
      </c>
      <c r="BG13" s="1">
        <f>56305.75-17474.25</f>
        <v>38831.5</v>
      </c>
      <c r="BH13" s="1">
        <f>29627.71-1697.38</f>
        <v>27930.329999999998</v>
      </c>
      <c r="BI13" s="1">
        <f>19782.49-632.98</f>
        <v>19149.510000000002</v>
      </c>
      <c r="BJ13" s="1">
        <f>9721.86-132.98</f>
        <v>9588.880000000001</v>
      </c>
    </row>
    <row r="14" spans="1:67">
      <c r="C14" t="s">
        <v>32</v>
      </c>
      <c r="D14" s="14">
        <f>+(173675-38900)/12*12</f>
        <v>134775</v>
      </c>
      <c r="E14" s="14">
        <f>+(173675-38900)/12*11</f>
        <v>123543.75</v>
      </c>
      <c r="F14" s="14">
        <f>+(173675-38900)/12*10</f>
        <v>112312.5</v>
      </c>
      <c r="G14" s="14">
        <f>+(173675-38900)/12*9</f>
        <v>101081.25</v>
      </c>
      <c r="H14" s="14">
        <f>+(173675-38900)/12*8</f>
        <v>89850</v>
      </c>
      <c r="I14" s="14">
        <f>+(173675-38900)/12*7</f>
        <v>78618.75</v>
      </c>
      <c r="J14" s="14">
        <f>+(173675-38900)/12*6</f>
        <v>67387.5</v>
      </c>
      <c r="K14" s="14">
        <f>+(173675-38900)/12*5</f>
        <v>56156.25</v>
      </c>
      <c r="L14" s="14">
        <f>+(173675-38900)/12*4</f>
        <v>44925</v>
      </c>
      <c r="M14" s="14">
        <f>+(173675-38900)/12*3</f>
        <v>33693.75</v>
      </c>
      <c r="N14" s="14">
        <f>+(173675-38900)/12*2</f>
        <v>22462.5</v>
      </c>
      <c r="O14" s="14">
        <f>+(173675-38900)/12*1</f>
        <v>11231.25</v>
      </c>
      <c r="P14" s="14">
        <f>+(158897-34415)/12*12</f>
        <v>124482</v>
      </c>
      <c r="Q14" s="14">
        <f>+(158897-34415)/12*11</f>
        <v>114108.5</v>
      </c>
      <c r="R14" s="14">
        <f>+(158897-34415)/12*10</f>
        <v>103735</v>
      </c>
      <c r="S14" s="14">
        <f>+(158897-34415)/12*9</f>
        <v>93361.5</v>
      </c>
      <c r="T14" s="14">
        <f>+(158897-34415)/12*8</f>
        <v>82988</v>
      </c>
      <c r="U14" s="14">
        <f>+(158897-34415)/12*7</f>
        <v>72614.5</v>
      </c>
      <c r="V14" s="14">
        <f>+(158897-34415)/12*6</f>
        <v>62241</v>
      </c>
      <c r="W14" s="14">
        <f>+(158897-34415)/12*5</f>
        <v>51867.5</v>
      </c>
      <c r="X14" s="14">
        <f>+(158897-34415)/12*4</f>
        <v>41494</v>
      </c>
      <c r="Y14" s="14">
        <f>+(158897-34415)/12*3</f>
        <v>31120.5</v>
      </c>
      <c r="Z14" s="14">
        <f>+(158897-34415)/12*2</f>
        <v>20747</v>
      </c>
      <c r="AA14" s="14">
        <f>+(158897-34415)/12</f>
        <v>10373.5</v>
      </c>
      <c r="AB14" s="1">
        <f>+(169577-41565)/12*12</f>
        <v>128012</v>
      </c>
      <c r="AC14" s="1">
        <f>+(169577-41565)/12*11</f>
        <v>117344.33333333333</v>
      </c>
      <c r="AD14" s="1">
        <f>+(169577-41565)/12*10</f>
        <v>106676.66666666666</v>
      </c>
      <c r="AE14" s="1">
        <f>+(169577-41565)/12*9</f>
        <v>96009</v>
      </c>
      <c r="AF14" s="1">
        <f>+(169577-41565)/12*8</f>
        <v>85341.333333333328</v>
      </c>
      <c r="AG14" s="1">
        <f>+(169577-41565)/12*7</f>
        <v>74673.666666666657</v>
      </c>
      <c r="AH14" s="1">
        <f>+(169577-41565)/12*6</f>
        <v>64006</v>
      </c>
      <c r="AI14" s="1">
        <f>+(169577-41565)/12*5</f>
        <v>53338.333333333328</v>
      </c>
      <c r="AJ14" s="1">
        <f>+(169577-41565)/12*4</f>
        <v>42670.666666666664</v>
      </c>
      <c r="AK14" s="1">
        <f>+(169577-41565)/12*3</f>
        <v>32003</v>
      </c>
      <c r="AL14" s="1">
        <f>+(169577-41565)/12*2</f>
        <v>21335.333333333332</v>
      </c>
      <c r="AM14" s="1">
        <f>+(169577-41565)/12</f>
        <v>10667.666666666666</v>
      </c>
      <c r="AN14" s="1">
        <f>+(171526-40275)/12*11</f>
        <v>120313.41666666667</v>
      </c>
      <c r="AO14" s="1">
        <f>+(171526-40275)/12*10</f>
        <v>109375.83333333334</v>
      </c>
      <c r="AP14" s="1">
        <f>+(171526-40275)/12*9</f>
        <v>98438.25</v>
      </c>
      <c r="AQ14" s="1">
        <f>+(171526-40275)/12*8</f>
        <v>87500.666666666672</v>
      </c>
      <c r="AR14" s="1">
        <f>+(171526-40275)/12*7</f>
        <v>76563.083333333343</v>
      </c>
      <c r="AS14" s="1">
        <f>+(171526-40275)/12*6</f>
        <v>65625.5</v>
      </c>
      <c r="AT14" s="1">
        <f>+(171526-40275)/12*5</f>
        <v>54687.916666666672</v>
      </c>
      <c r="AU14" s="1">
        <f>+(171526-40275)/12*4</f>
        <v>43750.333333333336</v>
      </c>
      <c r="AV14" s="1">
        <f>+(171526-40275)/12*3</f>
        <v>32812.75</v>
      </c>
      <c r="AW14" s="1">
        <f>+(171526-40275)/12*2</f>
        <v>21875.166666666668</v>
      </c>
      <c r="AX14" s="1">
        <f>+(171526-40275)/12</f>
        <v>10937.583333333334</v>
      </c>
      <c r="AY14" s="1">
        <f>131660/12*12</f>
        <v>131660</v>
      </c>
      <c r="AZ14" s="1">
        <f>131660/12*11</f>
        <v>120688.33333333333</v>
      </c>
      <c r="BA14" s="1">
        <f>131660/12*10</f>
        <v>109716.66666666666</v>
      </c>
      <c r="BB14" s="1">
        <f>131660/12*9</f>
        <v>98745</v>
      </c>
      <c r="BC14" s="1">
        <f>131660/12*8</f>
        <v>87773.333333333328</v>
      </c>
      <c r="BD14" s="1">
        <f>131660/12*7</f>
        <v>76801.666666666657</v>
      </c>
      <c r="BE14" s="1">
        <f>131660/12*6</f>
        <v>65830</v>
      </c>
      <c r="BF14" s="1">
        <f>131660/12*5</f>
        <v>54858.333333333328</v>
      </c>
      <c r="BG14" s="1">
        <f>131660/12*4</f>
        <v>43886.666666666664</v>
      </c>
      <c r="BH14" s="1">
        <f>131660/12*3</f>
        <v>32915</v>
      </c>
      <c r="BI14" s="1">
        <f>131660/12*2</f>
        <v>21943.333333333332</v>
      </c>
      <c r="BJ14" s="1">
        <f>131660/12</f>
        <v>10971.666666666666</v>
      </c>
    </row>
    <row r="15" spans="1:67">
      <c r="C15" t="s">
        <v>33</v>
      </c>
      <c r="D15" s="7">
        <f t="shared" ref="D15:E15" si="19">+D14-D13</f>
        <v>12523.959999999992</v>
      </c>
      <c r="E15" s="7">
        <f t="shared" si="19"/>
        <v>13377.449999999983</v>
      </c>
      <c r="F15" s="7">
        <f t="shared" ref="F15:G15" si="20">+F14-F13</f>
        <v>12332.599999999991</v>
      </c>
      <c r="G15" s="7">
        <f t="shared" si="20"/>
        <v>10216.970000000001</v>
      </c>
      <c r="H15" s="7">
        <f t="shared" ref="H15:I15" si="21">+H14-H13</f>
        <v>9062.0499999999884</v>
      </c>
      <c r="I15" s="7">
        <f t="shared" si="21"/>
        <v>6693.6399999999994</v>
      </c>
      <c r="J15" s="7">
        <f t="shared" ref="J15:K15" si="22">+J14-J13</f>
        <v>8825.39</v>
      </c>
      <c r="K15" s="7">
        <f t="shared" si="22"/>
        <v>6898.7000000000044</v>
      </c>
      <c r="L15" s="7">
        <f t="shared" ref="L15:M15" si="23">+L14-L13</f>
        <v>5354.7299999999959</v>
      </c>
      <c r="M15" s="7">
        <f t="shared" si="23"/>
        <v>4244.09</v>
      </c>
      <c r="N15" s="7">
        <f t="shared" ref="N15:O15" si="24">+N14-N13</f>
        <v>1584.1100000000006</v>
      </c>
      <c r="O15" s="7">
        <f t="shared" si="24"/>
        <v>133.10000000000036</v>
      </c>
      <c r="P15" s="7">
        <f t="shared" ref="P15:BJ15" si="25">+P14-P13</f>
        <v>13170.350000000006</v>
      </c>
      <c r="Q15" s="7">
        <f t="shared" si="25"/>
        <v>12681.62999999999</v>
      </c>
      <c r="R15" s="7">
        <f t="shared" si="25"/>
        <v>10894.25</v>
      </c>
      <c r="S15" s="7">
        <f t="shared" si="25"/>
        <v>10468.25</v>
      </c>
      <c r="T15" s="7">
        <f t="shared" si="25"/>
        <v>9897</v>
      </c>
      <c r="U15" s="7">
        <f t="shared" si="25"/>
        <v>7945</v>
      </c>
      <c r="V15" s="7">
        <f t="shared" si="25"/>
        <v>8762.9799999999959</v>
      </c>
      <c r="W15" s="7">
        <f t="shared" si="25"/>
        <v>6089.6100000000006</v>
      </c>
      <c r="X15" s="7">
        <f t="shared" si="25"/>
        <v>4447.4500000000044</v>
      </c>
      <c r="Y15" s="7">
        <f t="shared" si="25"/>
        <v>5308.1699999999983</v>
      </c>
      <c r="Z15" s="7">
        <f t="shared" si="25"/>
        <v>2776.8600000000006</v>
      </c>
      <c r="AA15" s="7">
        <f t="shared" si="25"/>
        <v>230.15999999999985</v>
      </c>
      <c r="AB15" s="7">
        <f t="shared" si="25"/>
        <v>12471.600000000006</v>
      </c>
      <c r="AC15" s="7">
        <f t="shared" si="25"/>
        <v>12685.283333333326</v>
      </c>
      <c r="AD15" s="7">
        <f t="shared" si="25"/>
        <v>10799.556666666656</v>
      </c>
      <c r="AE15" s="7">
        <f t="shared" si="25"/>
        <v>9478.320000000007</v>
      </c>
      <c r="AF15" s="7">
        <f t="shared" si="25"/>
        <v>7005.993333333332</v>
      </c>
      <c r="AG15" s="7">
        <f t="shared" si="25"/>
        <v>4702.9066666666622</v>
      </c>
      <c r="AH15" s="7">
        <f t="shared" si="25"/>
        <v>4895.6500000000015</v>
      </c>
      <c r="AI15" s="7">
        <f t="shared" si="25"/>
        <v>4014.2633333333288</v>
      </c>
      <c r="AJ15" s="7">
        <f t="shared" si="25"/>
        <v>2603.5266666666648</v>
      </c>
      <c r="AK15" s="7">
        <f t="shared" si="25"/>
        <v>951.34000000000015</v>
      </c>
      <c r="AL15" s="7">
        <f t="shared" si="25"/>
        <v>-236.95666666666875</v>
      </c>
      <c r="AM15" s="7">
        <f t="shared" si="25"/>
        <v>-2834.623333333333</v>
      </c>
      <c r="AN15" s="7">
        <f t="shared" si="25"/>
        <v>16447.546666666676</v>
      </c>
      <c r="AO15" s="7">
        <f t="shared" si="25"/>
        <v>15053.423333333354</v>
      </c>
      <c r="AP15" s="7">
        <f t="shared" si="25"/>
        <v>12257.429999999993</v>
      </c>
      <c r="AQ15" s="7">
        <f t="shared" si="25"/>
        <v>8906.506666666668</v>
      </c>
      <c r="AR15" s="7">
        <f t="shared" si="25"/>
        <v>12558.323333333348</v>
      </c>
      <c r="AS15" s="7">
        <f t="shared" si="25"/>
        <v>11053.489999999998</v>
      </c>
      <c r="AT15" s="7">
        <f t="shared" si="25"/>
        <v>7567.9566666666724</v>
      </c>
      <c r="AU15" s="7">
        <f t="shared" si="25"/>
        <v>4875.9433333333363</v>
      </c>
      <c r="AV15" s="7">
        <f t="shared" si="25"/>
        <v>3945.84</v>
      </c>
      <c r="AW15" s="7">
        <f t="shared" si="25"/>
        <v>6757.7366666666676</v>
      </c>
      <c r="AX15" s="7">
        <f t="shared" si="25"/>
        <v>1408.8533333333326</v>
      </c>
      <c r="AY15" s="7">
        <f t="shared" si="25"/>
        <v>21466.300000000017</v>
      </c>
      <c r="AZ15" s="7">
        <f t="shared" si="25"/>
        <v>20792.363333333327</v>
      </c>
      <c r="BA15" s="7">
        <f t="shared" si="25"/>
        <v>16897.84666666665</v>
      </c>
      <c r="BB15" s="7">
        <f t="shared" si="25"/>
        <v>14677.169999999998</v>
      </c>
      <c r="BC15" s="7">
        <f t="shared" si="25"/>
        <v>12073.743333333332</v>
      </c>
      <c r="BD15" s="7">
        <f t="shared" si="25"/>
        <v>9696.9766666666546</v>
      </c>
      <c r="BE15" s="7">
        <f t="shared" si="25"/>
        <v>8653.1800000000076</v>
      </c>
      <c r="BF15" s="7">
        <f t="shared" si="25"/>
        <v>5183.1933333333291</v>
      </c>
      <c r="BG15" s="7">
        <f t="shared" si="25"/>
        <v>5055.1666666666642</v>
      </c>
      <c r="BH15" s="7">
        <f t="shared" si="25"/>
        <v>4984.6700000000019</v>
      </c>
      <c r="BI15" s="7">
        <f t="shared" si="25"/>
        <v>2793.8233333333301</v>
      </c>
      <c r="BJ15" s="7">
        <f t="shared" si="25"/>
        <v>1382.786666666665</v>
      </c>
    </row>
    <row r="16" spans="1:67"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3:62" ht="15" thickBot="1">
      <c r="C17" t="s">
        <v>35</v>
      </c>
      <c r="D17" s="8">
        <f t="shared" ref="D17:E17" si="26">+D15+D7+D11</f>
        <v>-1152.8199999999888</v>
      </c>
      <c r="E17" s="8">
        <f t="shared" si="26"/>
        <v>1302.8175757575591</v>
      </c>
      <c r="F17" s="8">
        <f t="shared" ref="F17:G17" si="27">+F15+F7+F11</f>
        <v>1014.4033333333427</v>
      </c>
      <c r="G17" s="8">
        <f t="shared" si="27"/>
        <v>-242.6933333333327</v>
      </c>
      <c r="H17" s="8">
        <f t="shared" ref="H17:I17" si="28">+H15+H7+H11</f>
        <v>-588.38333333333503</v>
      </c>
      <c r="I17" s="8">
        <f t="shared" si="28"/>
        <v>-2494.6452380952451</v>
      </c>
      <c r="J17" s="8">
        <f t="shared" ref="J17:K17" si="29">+J15+J7+J11</f>
        <v>629.36000000000422</v>
      </c>
      <c r="K17" s="8">
        <f t="shared" si="29"/>
        <v>-431.77333333333081</v>
      </c>
      <c r="L17" s="8">
        <f t="shared" ref="L17:M17" si="30">+L15+L7+L11</f>
        <v>-415.62666666667246</v>
      </c>
      <c r="M17" s="8">
        <f t="shared" si="30"/>
        <v>-1020.8399999999965</v>
      </c>
      <c r="N17" s="8">
        <f t="shared" ref="N17:O17" si="31">+N15+N7+N11</f>
        <v>-3258.7233333333324</v>
      </c>
      <c r="O17" s="8">
        <f t="shared" si="31"/>
        <v>-4532.8166666666657</v>
      </c>
      <c r="P17" s="8">
        <f t="shared" ref="P17:AX17" si="32">+P15+P7+P11</f>
        <v>11684.929999999989</v>
      </c>
      <c r="Q17" s="8">
        <f t="shared" si="32"/>
        <v>11599.576363636354</v>
      </c>
      <c r="R17" s="8">
        <f t="shared" si="32"/>
        <v>10191.159999999989</v>
      </c>
      <c r="S17" s="8">
        <f t="shared" si="32"/>
        <v>8292.9833333333318</v>
      </c>
      <c r="T17" s="8">
        <f t="shared" si="32"/>
        <v>6203.359999999986</v>
      </c>
      <c r="U17" s="8">
        <f t="shared" si="32"/>
        <v>4735.1799999999912</v>
      </c>
      <c r="V17" s="8">
        <f t="shared" si="32"/>
        <v>5633.7499999999891</v>
      </c>
      <c r="W17" s="8">
        <f t="shared" si="32"/>
        <v>3507.9899999999975</v>
      </c>
      <c r="X17" s="8">
        <f t="shared" si="32"/>
        <v>750.90000000000146</v>
      </c>
      <c r="Y17" s="8">
        <f t="shared" si="32"/>
        <v>1411.2400000000021</v>
      </c>
      <c r="Z17" s="8">
        <f t="shared" si="32"/>
        <v>-723.47000000000116</v>
      </c>
      <c r="AA17" s="8">
        <f t="shared" si="32"/>
        <v>-2156.2199999999975</v>
      </c>
      <c r="AB17" s="8">
        <f t="shared" si="32"/>
        <v>9155.6400000000103</v>
      </c>
      <c r="AC17" s="8">
        <f t="shared" si="32"/>
        <v>10807.483939393935</v>
      </c>
      <c r="AD17" s="8">
        <f t="shared" si="32"/>
        <v>9791.9933333333211</v>
      </c>
      <c r="AE17" s="8">
        <f t="shared" si="32"/>
        <v>9580.8800000000047</v>
      </c>
      <c r="AF17" s="8">
        <f t="shared" si="32"/>
        <v>7095.1266666666634</v>
      </c>
      <c r="AG17" s="8">
        <f t="shared" si="32"/>
        <v>5815.6233333333275</v>
      </c>
      <c r="AH17" s="8">
        <f t="shared" si="32"/>
        <v>6407.7599999999984</v>
      </c>
      <c r="AI17" s="8">
        <f t="shared" si="32"/>
        <v>4384.9066666666658</v>
      </c>
      <c r="AJ17" s="8">
        <f t="shared" si="32"/>
        <v>3660.0233333333254</v>
      </c>
      <c r="AK17" s="8">
        <f t="shared" si="32"/>
        <v>2602.6199999999953</v>
      </c>
      <c r="AL17" s="8">
        <f t="shared" si="32"/>
        <v>-1339.2033333333302</v>
      </c>
      <c r="AM17" s="8">
        <f t="shared" si="32"/>
        <v>-3836.1066666666679</v>
      </c>
      <c r="AN17" s="8">
        <f t="shared" si="32"/>
        <v>17322.449696969721</v>
      </c>
      <c r="AO17" s="8">
        <f t="shared" si="32"/>
        <v>12404.956666666694</v>
      </c>
      <c r="AP17" s="8">
        <f t="shared" si="32"/>
        <v>2144.44333333332</v>
      </c>
      <c r="AQ17" s="8">
        <f t="shared" si="32"/>
        <v>125.85333333332892</v>
      </c>
      <c r="AR17" s="8">
        <f t="shared" si="32"/>
        <v>5340.4066666666804</v>
      </c>
      <c r="AS17" s="8">
        <f t="shared" si="32"/>
        <v>6002.229999999985</v>
      </c>
      <c r="AT17" s="8">
        <f t="shared" si="32"/>
        <v>3429.9533333333275</v>
      </c>
      <c r="AU17" s="8">
        <f t="shared" si="32"/>
        <v>2939.1866666666738</v>
      </c>
      <c r="AV17" s="8">
        <f t="shared" si="32"/>
        <v>2303.2100000000132</v>
      </c>
      <c r="AW17" s="8">
        <f t="shared" si="32"/>
        <v>4287.1933333333427</v>
      </c>
      <c r="AX17" s="8">
        <f t="shared" si="32"/>
        <v>1576.6766666666713</v>
      </c>
      <c r="AY17" s="8">
        <f t="shared" ref="AY17:BJ17" si="33">+AY15+AY7</f>
        <v>16823.390909090929</v>
      </c>
      <c r="AZ17" s="8">
        <f t="shared" si="33"/>
        <v>16149.454242424239</v>
      </c>
      <c r="BA17" s="8">
        <f t="shared" si="33"/>
        <v>12160.246666666651</v>
      </c>
      <c r="BB17" s="8">
        <f t="shared" si="33"/>
        <v>9842.5033333333322</v>
      </c>
      <c r="BC17" s="8">
        <f t="shared" si="33"/>
        <v>7159.743333333332</v>
      </c>
      <c r="BD17" s="8">
        <f t="shared" si="33"/>
        <v>4728.9766666666574</v>
      </c>
      <c r="BE17" s="8">
        <f t="shared" si="33"/>
        <v>3641.1800000000112</v>
      </c>
      <c r="BF17" s="8">
        <f t="shared" si="33"/>
        <v>176.79333333332761</v>
      </c>
      <c r="BG17" s="8">
        <f t="shared" si="33"/>
        <v>141.16666666666424</v>
      </c>
      <c r="BH17" s="8">
        <f t="shared" si="33"/>
        <v>-559.32999999999811</v>
      </c>
      <c r="BI17" s="8">
        <f t="shared" si="33"/>
        <v>-1658.1766666666699</v>
      </c>
      <c r="BJ17" s="8">
        <f t="shared" si="33"/>
        <v>-2145.213333333335</v>
      </c>
    </row>
    <row r="18" spans="3:62" ht="15" thickTop="1"/>
    <row r="19" spans="3:62">
      <c r="C19" t="s">
        <v>37</v>
      </c>
      <c r="D19" s="14">
        <v>196400.27</v>
      </c>
      <c r="E19" s="14">
        <v>183372.72</v>
      </c>
      <c r="F19" s="14">
        <v>187318.57</v>
      </c>
      <c r="G19" s="14">
        <v>192689.72</v>
      </c>
      <c r="H19" s="14">
        <v>196488.25</v>
      </c>
      <c r="I19" s="14">
        <v>199939.96</v>
      </c>
      <c r="J19" s="14">
        <v>206509.62</v>
      </c>
      <c r="K19" s="14">
        <v>208026.37</v>
      </c>
      <c r="L19" s="14">
        <v>226589.55</v>
      </c>
      <c r="M19" s="14">
        <v>236966</v>
      </c>
      <c r="N19" s="14">
        <v>216536.92</v>
      </c>
      <c r="O19" s="14">
        <v>208852.88</v>
      </c>
      <c r="P19" s="14">
        <v>208084.34</v>
      </c>
      <c r="Q19" s="14">
        <v>190910.57</v>
      </c>
      <c r="R19" s="14">
        <v>195109.54</v>
      </c>
      <c r="S19" s="14">
        <v>196661.4</v>
      </c>
      <c r="T19" s="14">
        <v>198062.31</v>
      </c>
      <c r="U19" s="14">
        <v>201360.67</v>
      </c>
      <c r="V19" s="14">
        <v>205295.41</v>
      </c>
      <c r="W19" s="14">
        <v>222436.86</v>
      </c>
      <c r="X19" s="14">
        <v>223214.74</v>
      </c>
      <c r="Y19" s="14">
        <v>225441.26</v>
      </c>
      <c r="Z19" s="14">
        <v>200070.68</v>
      </c>
      <c r="AA19" s="14">
        <v>190292.37</v>
      </c>
      <c r="AB19" s="13">
        <v>183451.03</v>
      </c>
      <c r="AC19" s="13">
        <v>165527.87</v>
      </c>
      <c r="AD19" s="13">
        <v>169705.41</v>
      </c>
      <c r="AE19" s="13">
        <v>171598.07</v>
      </c>
      <c r="AF19" s="13">
        <v>171675.05</v>
      </c>
      <c r="AG19" s="1">
        <v>174179.87</v>
      </c>
      <c r="AH19" s="1">
        <v>196037.68</v>
      </c>
      <c r="AI19" s="1">
        <v>201222.8</v>
      </c>
      <c r="AJ19" s="1">
        <v>199351.59</v>
      </c>
      <c r="AK19" s="1">
        <v>182578.38</v>
      </c>
      <c r="AL19" s="1">
        <v>172974.49</v>
      </c>
      <c r="AM19" s="1">
        <v>168857.21</v>
      </c>
      <c r="AN19" s="1">
        <v>138236.38</v>
      </c>
      <c r="AO19" s="1">
        <v>139914.1</v>
      </c>
      <c r="AP19" s="1">
        <v>136897.97</v>
      </c>
      <c r="AQ19" s="1">
        <v>133154.15</v>
      </c>
      <c r="AR19" s="1">
        <v>141056.29</v>
      </c>
      <c r="AS19" s="1">
        <v>146472.87</v>
      </c>
      <c r="AT19" s="1">
        <v>171294.25</v>
      </c>
      <c r="AU19" s="1">
        <v>171543.28</v>
      </c>
      <c r="AV19" s="1">
        <v>155924.75</v>
      </c>
      <c r="AW19" s="1">
        <v>154498.1</v>
      </c>
      <c r="AX19" s="1">
        <v>152371.14000000001</v>
      </c>
      <c r="AY19" s="1">
        <v>120388.32</v>
      </c>
      <c r="AZ19" s="1">
        <v>99920.19</v>
      </c>
      <c r="BA19" s="1">
        <v>101238.88</v>
      </c>
      <c r="BB19" s="1">
        <v>105639.09</v>
      </c>
      <c r="BC19" s="1">
        <v>108992.54</v>
      </c>
      <c r="BD19" s="1">
        <v>112437.44</v>
      </c>
      <c r="BE19" s="1">
        <v>113633.69</v>
      </c>
      <c r="BF19" s="1">
        <v>115805.19</v>
      </c>
      <c r="BG19" s="1">
        <v>157672.74</v>
      </c>
      <c r="BH19" s="1">
        <v>164947.21</v>
      </c>
      <c r="BI19" s="1">
        <v>154575.5</v>
      </c>
      <c r="BJ19" s="1">
        <v>151253.48000000001</v>
      </c>
    </row>
    <row r="20" spans="3:62">
      <c r="C20" t="s">
        <v>39</v>
      </c>
      <c r="D20" s="14">
        <v>-49435.3</v>
      </c>
      <c r="E20" s="14">
        <v>-49435.3</v>
      </c>
      <c r="F20" s="14">
        <v>-49435.3</v>
      </c>
      <c r="G20" s="14">
        <v>-49435.3</v>
      </c>
      <c r="H20" s="14">
        <v>-49435.3</v>
      </c>
      <c r="I20" s="14">
        <v>-49435.3</v>
      </c>
      <c r="J20" s="14">
        <v>-49435.3</v>
      </c>
      <c r="K20" s="14">
        <v>-49435.3</v>
      </c>
      <c r="L20" s="14">
        <v>-49435.3</v>
      </c>
      <c r="M20" s="14">
        <v>-49435.3</v>
      </c>
      <c r="N20" s="14">
        <v>-49435.3</v>
      </c>
      <c r="O20" s="14">
        <v>-49435.3</v>
      </c>
      <c r="P20" s="14">
        <v>-49532.62</v>
      </c>
      <c r="Q20" s="14">
        <v>-49532.62</v>
      </c>
      <c r="R20" s="14">
        <v>-49532.62</v>
      </c>
      <c r="S20" s="14">
        <v>-49532.62</v>
      </c>
      <c r="T20" s="14">
        <v>-49532.62</v>
      </c>
      <c r="U20" s="14">
        <v>-49532.62</v>
      </c>
      <c r="V20" s="14">
        <v>-49532.62</v>
      </c>
      <c r="W20" s="14">
        <v>-49532.62</v>
      </c>
      <c r="X20" s="14">
        <v>-49532.62</v>
      </c>
      <c r="Y20" s="14">
        <v>-49532.62</v>
      </c>
      <c r="Z20" s="14">
        <v>-49532.62</v>
      </c>
      <c r="AA20" s="14">
        <v>-49532.62</v>
      </c>
      <c r="AB20" s="14">
        <v>-50647.44</v>
      </c>
      <c r="AC20" s="14">
        <v>-48110.63</v>
      </c>
      <c r="AD20" s="14">
        <v>-47041.58</v>
      </c>
      <c r="AE20" s="14">
        <v>-47041.58</v>
      </c>
      <c r="AF20" s="14">
        <v>-47041.58</v>
      </c>
      <c r="AG20" s="1">
        <v>-47041.58</v>
      </c>
      <c r="AH20" s="1">
        <v>-47041.58</v>
      </c>
      <c r="AI20" s="1">
        <v>-47041.58</v>
      </c>
      <c r="AJ20" s="1">
        <v>-47041.58</v>
      </c>
      <c r="AK20" s="1">
        <v>-47041.58</v>
      </c>
      <c r="AL20" s="1">
        <v>-47041.58</v>
      </c>
      <c r="AM20" s="1">
        <v>-47041.58</v>
      </c>
      <c r="AN20" s="1">
        <v>-46210.35</v>
      </c>
      <c r="AO20" s="1">
        <v>-46210.35</v>
      </c>
      <c r="AP20" s="1">
        <v>-46210.35</v>
      </c>
      <c r="AQ20" s="1">
        <v>-46210.35</v>
      </c>
      <c r="AR20" s="1">
        <v>-46210.35</v>
      </c>
      <c r="AS20" s="1">
        <v>-46210.35</v>
      </c>
      <c r="AT20" s="1">
        <v>-46210.35</v>
      </c>
      <c r="AU20" s="1">
        <v>-46210.35</v>
      </c>
      <c r="AV20" s="1">
        <v>-46210.35</v>
      </c>
      <c r="AW20" s="1">
        <v>-46210.35</v>
      </c>
      <c r="AX20" s="1">
        <v>-46210.35</v>
      </c>
      <c r="AY20" s="1">
        <v>-47919.53</v>
      </c>
      <c r="AZ20" s="1">
        <v>-47919.53</v>
      </c>
      <c r="BA20" s="1">
        <v>-47919.53</v>
      </c>
      <c r="BB20" s="1">
        <v>-47919.53</v>
      </c>
      <c r="BC20" s="1">
        <v>-47919.53</v>
      </c>
      <c r="BD20" s="1">
        <v>-47919.53</v>
      </c>
      <c r="BE20" s="1">
        <v>-47919.53</v>
      </c>
      <c r="BF20" s="1">
        <v>-47919.53</v>
      </c>
      <c r="BG20" s="1">
        <v>-47919.53</v>
      </c>
      <c r="BH20" s="1">
        <v>-47919.53</v>
      </c>
      <c r="BI20" s="1">
        <v>-47919.53</v>
      </c>
      <c r="BJ20" s="1">
        <v>-47919.53</v>
      </c>
    </row>
    <row r="21" spans="3:62">
      <c r="D21" s="2">
        <f t="shared" ref="D21" si="34">SUM(D19:D20)</f>
        <v>146964.96999999997</v>
      </c>
      <c r="E21" s="2">
        <f t="shared" ref="E21:F21" si="35">SUM(E19:E20)</f>
        <v>133937.41999999998</v>
      </c>
      <c r="F21" s="2">
        <f t="shared" si="35"/>
        <v>137883.27000000002</v>
      </c>
      <c r="G21" s="2">
        <f t="shared" ref="G21:H21" si="36">SUM(G19:G20)</f>
        <v>143254.41999999998</v>
      </c>
      <c r="H21" s="2">
        <f t="shared" si="36"/>
        <v>147052.95000000001</v>
      </c>
      <c r="I21" s="2">
        <f t="shared" ref="I21:J21" si="37">SUM(I19:I20)</f>
        <v>150504.65999999997</v>
      </c>
      <c r="J21" s="2">
        <f t="shared" si="37"/>
        <v>157074.32</v>
      </c>
      <c r="K21" s="2">
        <f t="shared" ref="K21:L21" si="38">SUM(K19:K20)</f>
        <v>158591.07</v>
      </c>
      <c r="L21" s="2">
        <f t="shared" si="38"/>
        <v>177154.25</v>
      </c>
      <c r="M21" s="2">
        <f t="shared" ref="M21:N21" si="39">SUM(M19:M20)</f>
        <v>187530.7</v>
      </c>
      <c r="N21" s="2">
        <f t="shared" si="39"/>
        <v>167101.62</v>
      </c>
      <c r="O21" s="2">
        <f t="shared" ref="O21:P21" si="40">SUM(O19:O20)</f>
        <v>159417.58000000002</v>
      </c>
      <c r="P21" s="2">
        <f t="shared" si="40"/>
        <v>158551.72</v>
      </c>
      <c r="Q21" s="2">
        <f t="shared" ref="Q21:BJ21" si="41">SUM(Q19:Q20)</f>
        <v>141377.95000000001</v>
      </c>
      <c r="R21" s="2">
        <f t="shared" si="41"/>
        <v>145576.92000000001</v>
      </c>
      <c r="S21" s="2">
        <f t="shared" si="41"/>
        <v>147128.78</v>
      </c>
      <c r="T21" s="2">
        <f t="shared" si="41"/>
        <v>148529.69</v>
      </c>
      <c r="U21" s="2">
        <f t="shared" si="41"/>
        <v>151828.05000000002</v>
      </c>
      <c r="V21" s="2">
        <f t="shared" si="41"/>
        <v>155762.79</v>
      </c>
      <c r="W21" s="2">
        <f t="shared" si="41"/>
        <v>172904.24</v>
      </c>
      <c r="X21" s="2">
        <f t="shared" si="41"/>
        <v>173682.12</v>
      </c>
      <c r="Y21" s="2">
        <f t="shared" si="41"/>
        <v>175908.64</v>
      </c>
      <c r="Z21" s="2">
        <f t="shared" si="41"/>
        <v>150538.06</v>
      </c>
      <c r="AA21" s="2">
        <f t="shared" si="41"/>
        <v>140759.75</v>
      </c>
      <c r="AB21" s="2">
        <f t="shared" si="41"/>
        <v>132803.59</v>
      </c>
      <c r="AC21" s="2">
        <f t="shared" si="41"/>
        <v>117417.23999999999</v>
      </c>
      <c r="AD21" s="2">
        <f t="shared" si="41"/>
        <v>122663.83</v>
      </c>
      <c r="AE21" s="2">
        <f t="shared" si="41"/>
        <v>124556.49</v>
      </c>
      <c r="AF21" s="2">
        <f t="shared" si="41"/>
        <v>124633.46999999999</v>
      </c>
      <c r="AG21" s="2">
        <f t="shared" si="41"/>
        <v>127138.29</v>
      </c>
      <c r="AH21" s="2">
        <f t="shared" si="41"/>
        <v>148996.09999999998</v>
      </c>
      <c r="AI21" s="2">
        <f t="shared" si="41"/>
        <v>154181.21999999997</v>
      </c>
      <c r="AJ21" s="2">
        <f t="shared" si="41"/>
        <v>152310.01</v>
      </c>
      <c r="AK21" s="2">
        <f t="shared" si="41"/>
        <v>135536.79999999999</v>
      </c>
      <c r="AL21" s="2">
        <f t="shared" si="41"/>
        <v>125932.90999999999</v>
      </c>
      <c r="AM21" s="2">
        <f t="shared" si="41"/>
        <v>121815.62999999999</v>
      </c>
      <c r="AN21" s="2">
        <f t="shared" si="41"/>
        <v>92026.03</v>
      </c>
      <c r="AO21" s="2">
        <f t="shared" si="41"/>
        <v>93703.75</v>
      </c>
      <c r="AP21" s="2">
        <f t="shared" si="41"/>
        <v>90687.62</v>
      </c>
      <c r="AQ21" s="2">
        <f t="shared" si="41"/>
        <v>86943.799999999988</v>
      </c>
      <c r="AR21" s="2">
        <f t="shared" si="41"/>
        <v>94845.94</v>
      </c>
      <c r="AS21" s="2">
        <f t="shared" si="41"/>
        <v>100262.51999999999</v>
      </c>
      <c r="AT21" s="2">
        <f t="shared" si="41"/>
        <v>125083.9</v>
      </c>
      <c r="AU21" s="2">
        <f t="shared" si="41"/>
        <v>125332.93</v>
      </c>
      <c r="AV21" s="2">
        <f t="shared" si="41"/>
        <v>109714.4</v>
      </c>
      <c r="AW21" s="2">
        <f t="shared" si="41"/>
        <v>108287.75</v>
      </c>
      <c r="AX21" s="2">
        <f t="shared" si="41"/>
        <v>106160.79000000001</v>
      </c>
      <c r="AY21" s="2">
        <f t="shared" si="41"/>
        <v>72468.790000000008</v>
      </c>
      <c r="AZ21" s="2">
        <f t="shared" si="41"/>
        <v>52000.66</v>
      </c>
      <c r="BA21" s="2">
        <f t="shared" si="41"/>
        <v>53319.350000000006</v>
      </c>
      <c r="BB21" s="2">
        <f t="shared" si="41"/>
        <v>57719.56</v>
      </c>
      <c r="BC21" s="2">
        <f t="shared" si="41"/>
        <v>61073.009999999995</v>
      </c>
      <c r="BD21" s="2">
        <f t="shared" si="41"/>
        <v>64517.91</v>
      </c>
      <c r="BE21" s="2">
        <f t="shared" si="41"/>
        <v>65714.16</v>
      </c>
      <c r="BF21" s="2">
        <f t="shared" si="41"/>
        <v>67885.66</v>
      </c>
      <c r="BG21" s="2">
        <f t="shared" si="41"/>
        <v>109753.20999999999</v>
      </c>
      <c r="BH21" s="2">
        <f t="shared" si="41"/>
        <v>117027.68</v>
      </c>
      <c r="BI21" s="2">
        <f t="shared" si="41"/>
        <v>106655.97</v>
      </c>
      <c r="BJ21" s="2">
        <f t="shared" si="41"/>
        <v>103333.95000000001</v>
      </c>
    </row>
    <row r="23" spans="3:62">
      <c r="C23" t="s">
        <v>41</v>
      </c>
      <c r="D23" s="13">
        <v>2159.13</v>
      </c>
      <c r="E23" s="13">
        <v>2059.13</v>
      </c>
      <c r="F23" s="13">
        <v>2059.13</v>
      </c>
      <c r="G23" s="13">
        <v>2059.13</v>
      </c>
      <c r="H23" s="13">
        <v>2059.13</v>
      </c>
      <c r="I23" s="13">
        <v>2059.13</v>
      </c>
      <c r="J23" s="13">
        <v>2059.13</v>
      </c>
      <c r="K23" s="13">
        <v>2059.13</v>
      </c>
      <c r="L23" s="13"/>
      <c r="M23" s="13"/>
      <c r="N23" s="13"/>
      <c r="O23" s="13"/>
      <c r="P23" s="13">
        <v>15327.16</v>
      </c>
      <c r="Q23" s="13">
        <v>15327.16</v>
      </c>
      <c r="R23" s="13">
        <v>15327.16</v>
      </c>
      <c r="S23" s="13">
        <v>15327.16</v>
      </c>
      <c r="T23" s="13">
        <v>15327.16</v>
      </c>
      <c r="U23" s="13">
        <v>15327.16</v>
      </c>
      <c r="V23" s="13">
        <v>15327.16</v>
      </c>
      <c r="W23" s="13">
        <v>15327.16</v>
      </c>
      <c r="AB23" s="6">
        <v>11273.89</v>
      </c>
      <c r="AC23" s="6">
        <v>11273.89</v>
      </c>
      <c r="AD23" s="6">
        <v>11273.89</v>
      </c>
      <c r="AE23" s="6">
        <v>11273.89</v>
      </c>
      <c r="AF23" s="6">
        <v>11273.89</v>
      </c>
      <c r="AG23" s="6">
        <v>11273.89</v>
      </c>
      <c r="AH23" s="6"/>
      <c r="AI23" s="6"/>
      <c r="AJ23" s="6"/>
      <c r="AK23" s="6"/>
      <c r="AL23" s="6"/>
      <c r="AM23" s="6"/>
      <c r="AN23" s="6">
        <v>12836.49</v>
      </c>
      <c r="AO23" s="6">
        <v>13124.2</v>
      </c>
      <c r="AP23" s="6">
        <v>13755</v>
      </c>
      <c r="AQ23" s="6">
        <v>13755</v>
      </c>
      <c r="AR23" s="6">
        <v>13755</v>
      </c>
      <c r="AS23" s="6">
        <v>15375.21</v>
      </c>
      <c r="AT23" s="3" t="s">
        <v>42</v>
      </c>
      <c r="AU23" s="3" t="s">
        <v>42</v>
      </c>
      <c r="AV23" s="3" t="s">
        <v>42</v>
      </c>
      <c r="AW23" s="3" t="s">
        <v>42</v>
      </c>
      <c r="AX23" s="3" t="s">
        <v>42</v>
      </c>
      <c r="AY23" s="6">
        <v>-17550.150000000001</v>
      </c>
      <c r="AZ23" s="6">
        <v>-17550.150000000001</v>
      </c>
      <c r="BA23" s="6">
        <v>-17550.150000000001</v>
      </c>
      <c r="BB23" s="6">
        <v>-15778.35</v>
      </c>
      <c r="BC23" s="6">
        <v>-15778.35</v>
      </c>
      <c r="BD23" s="6">
        <v>-15778.35</v>
      </c>
      <c r="BE23" s="6">
        <v>-15778.35</v>
      </c>
      <c r="BF23" s="6">
        <v>-15191.85</v>
      </c>
      <c r="BG23" s="3" t="s">
        <v>42</v>
      </c>
      <c r="BH23" s="3" t="s">
        <v>42</v>
      </c>
      <c r="BI23" s="3" t="s">
        <v>42</v>
      </c>
      <c r="BJ23" s="3" t="s">
        <v>42</v>
      </c>
    </row>
    <row r="25" spans="3:62">
      <c r="AN25" s="9"/>
      <c r="AO25" s="9"/>
    </row>
    <row r="26" spans="3:62">
      <c r="AG26" s="11"/>
      <c r="AH26" s="11"/>
      <c r="AI26" s="11"/>
      <c r="AJ26" s="11"/>
      <c r="AK26" s="11"/>
      <c r="AL26" s="11"/>
      <c r="AM26" s="11"/>
      <c r="AW26" s="1"/>
    </row>
    <row r="30" spans="3:62">
      <c r="AW30" s="9"/>
    </row>
  </sheetData>
  <mergeCells count="5">
    <mergeCell ref="AB1:AM1"/>
    <mergeCell ref="AN1:AO1"/>
    <mergeCell ref="AY1:BA1"/>
    <mergeCell ref="P1:AA1"/>
    <mergeCell ref="D1:J1"/>
  </mergeCells>
  <pageMargins left="0.7" right="0.7" top="0.75" bottom="0.75" header="0.3" footer="0.3"/>
  <pageSetup scale="2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C0AA-F381-43B4-982D-D5F1687B5098}">
  <sheetPr>
    <pageSetUpPr fitToPage="1"/>
  </sheetPr>
  <dimension ref="A1:BC30"/>
  <sheetViews>
    <sheetView workbookViewId="0">
      <selection activeCell="F4" sqref="F4"/>
    </sheetView>
  </sheetViews>
  <sheetFormatPr defaultRowHeight="14.45"/>
  <cols>
    <col min="3" max="3" width="52.140625" customWidth="1"/>
    <col min="4" max="6" width="15.140625" customWidth="1"/>
    <col min="7" max="10" width="15.140625" hidden="1" customWidth="1"/>
    <col min="11" max="11" width="15.5703125" hidden="1" customWidth="1"/>
    <col min="12" max="12" width="15.140625" hidden="1" customWidth="1"/>
    <col min="13" max="13" width="15.28515625" hidden="1" customWidth="1"/>
    <col min="14" max="15" width="15.140625" hidden="1" customWidth="1"/>
    <col min="16" max="18" width="15.140625" customWidth="1"/>
    <col min="19" max="20" width="15.140625" hidden="1" customWidth="1"/>
    <col min="21" max="22" width="14.7109375" hidden="1" customWidth="1"/>
    <col min="23" max="23" width="16.28515625" hidden="1" customWidth="1"/>
    <col min="24" max="25" width="14.7109375" hidden="1" customWidth="1"/>
    <col min="26" max="27" width="17.7109375" hidden="1" customWidth="1"/>
    <col min="28" max="33" width="15.7109375" hidden="1" customWidth="1"/>
    <col min="34" max="34" width="14.85546875" hidden="1" customWidth="1"/>
    <col min="35" max="36" width="15.140625" hidden="1" customWidth="1"/>
    <col min="37" max="37" width="13.7109375" hidden="1" customWidth="1"/>
    <col min="38" max="38" width="10.85546875" hidden="1" customWidth="1"/>
    <col min="39" max="40" width="14.7109375" hidden="1" customWidth="1"/>
    <col min="41" max="41" width="12" hidden="1" customWidth="1"/>
    <col min="42" max="46" width="13.5703125" hidden="1" customWidth="1"/>
    <col min="47" max="47" width="14.28515625" hidden="1" customWidth="1"/>
    <col min="48" max="50" width="11.140625" hidden="1" customWidth="1"/>
  </cols>
  <sheetData>
    <row r="1" spans="1:55" ht="15" thickBot="1">
      <c r="A1" t="s">
        <v>1</v>
      </c>
      <c r="D1" s="35">
        <v>2018</v>
      </c>
      <c r="E1" s="35"/>
      <c r="F1" s="35"/>
      <c r="G1" s="27"/>
      <c r="H1" s="17"/>
      <c r="I1" s="17"/>
      <c r="J1" s="17"/>
      <c r="K1" s="17"/>
      <c r="L1" s="17"/>
      <c r="M1" s="17"/>
      <c r="N1" s="17"/>
      <c r="O1" s="19"/>
      <c r="P1" s="37">
        <v>2017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8"/>
      <c r="AB1" s="32"/>
      <c r="AC1" s="32"/>
      <c r="AD1" s="12"/>
      <c r="AE1" s="12"/>
      <c r="AF1" s="12"/>
      <c r="AG1" s="12"/>
      <c r="AH1" s="12"/>
      <c r="AI1" s="28"/>
      <c r="AJ1" s="29"/>
      <c r="AK1" s="29"/>
      <c r="AL1" s="29"/>
      <c r="AM1" s="31">
        <v>2015</v>
      </c>
      <c r="AN1" s="32"/>
      <c r="AO1" s="33"/>
      <c r="AP1" s="28"/>
      <c r="AQ1" s="10"/>
      <c r="AR1" s="29"/>
      <c r="AS1" s="29"/>
      <c r="AT1" s="28"/>
      <c r="AU1" s="28"/>
      <c r="AV1" s="28"/>
      <c r="AW1" s="28"/>
      <c r="AX1" s="29"/>
    </row>
    <row r="2" spans="1:55"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2</v>
      </c>
      <c r="N2" s="18" t="s">
        <v>3</v>
      </c>
      <c r="O2" s="18" t="s">
        <v>4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  <c r="W2" s="4" t="s">
        <v>12</v>
      </c>
      <c r="X2" s="4" t="s">
        <v>13</v>
      </c>
      <c r="Y2" s="4" t="s">
        <v>2</v>
      </c>
      <c r="Z2" s="4" t="s">
        <v>3</v>
      </c>
      <c r="AA2" s="4" t="s">
        <v>4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4" t="s">
        <v>12</v>
      </c>
      <c r="AI2" s="4" t="s">
        <v>13</v>
      </c>
      <c r="AJ2" s="4" t="s">
        <v>2</v>
      </c>
      <c r="AK2" s="4" t="s">
        <v>3</v>
      </c>
      <c r="AL2" s="4" t="s">
        <v>4</v>
      </c>
      <c r="AM2" s="4" t="s">
        <v>5</v>
      </c>
      <c r="AN2" s="4" t="s">
        <v>6</v>
      </c>
      <c r="AO2" s="4" t="s">
        <v>7</v>
      </c>
      <c r="AP2" s="4" t="s">
        <v>8</v>
      </c>
      <c r="AQ2" s="4" t="s">
        <v>9</v>
      </c>
      <c r="AR2" s="4" t="s">
        <v>10</v>
      </c>
      <c r="AS2" s="4" t="s">
        <v>11</v>
      </c>
      <c r="AT2" s="4" t="s">
        <v>12</v>
      </c>
      <c r="AU2" s="4" t="s">
        <v>13</v>
      </c>
      <c r="AV2" s="4" t="s">
        <v>2</v>
      </c>
      <c r="AW2" s="4" t="s">
        <v>3</v>
      </c>
      <c r="AX2" s="4" t="s">
        <v>4</v>
      </c>
    </row>
    <row r="3" spans="1:55">
      <c r="C3" t="s">
        <v>46</v>
      </c>
      <c r="D3">
        <v>405</v>
      </c>
      <c r="E3">
        <v>407</v>
      </c>
      <c r="F3">
        <v>399</v>
      </c>
      <c r="G3">
        <v>396</v>
      </c>
      <c r="H3">
        <v>396</v>
      </c>
      <c r="I3">
        <v>397</v>
      </c>
      <c r="J3">
        <v>400</v>
      </c>
      <c r="K3">
        <v>395</v>
      </c>
      <c r="L3">
        <v>387</v>
      </c>
      <c r="M3">
        <v>385</v>
      </c>
      <c r="N3">
        <v>392</v>
      </c>
      <c r="O3">
        <v>397</v>
      </c>
      <c r="P3">
        <v>418</v>
      </c>
      <c r="Q3">
        <v>417</v>
      </c>
      <c r="R3">
        <v>421</v>
      </c>
      <c r="S3">
        <f>412+14</f>
        <v>426</v>
      </c>
      <c r="T3">
        <v>417</v>
      </c>
      <c r="U3">
        <v>424</v>
      </c>
      <c r="V3">
        <v>424</v>
      </c>
      <c r="W3">
        <v>420</v>
      </c>
      <c r="X3">
        <v>420</v>
      </c>
      <c r="Y3">
        <v>423</v>
      </c>
      <c r="Z3">
        <f>404+13</f>
        <v>417</v>
      </c>
      <c r="AA3">
        <v>421</v>
      </c>
      <c r="AB3">
        <v>451</v>
      </c>
      <c r="AC3">
        <f>433+13</f>
        <v>446</v>
      </c>
      <c r="AD3">
        <f>428+13</f>
        <v>441</v>
      </c>
      <c r="AE3">
        <v>439</v>
      </c>
      <c r="AF3">
        <v>431</v>
      </c>
      <c r="AG3">
        <v>440</v>
      </c>
      <c r="AH3">
        <v>445</v>
      </c>
      <c r="AI3">
        <v>441</v>
      </c>
      <c r="AJ3">
        <v>444</v>
      </c>
      <c r="AK3">
        <v>441</v>
      </c>
      <c r="AL3">
        <v>449</v>
      </c>
      <c r="AM3">
        <v>440</v>
      </c>
      <c r="AN3">
        <v>438</v>
      </c>
      <c r="AO3">
        <v>437</v>
      </c>
      <c r="AP3">
        <v>435</v>
      </c>
      <c r="AQ3">
        <v>433</v>
      </c>
      <c r="AR3">
        <v>432</v>
      </c>
      <c r="AS3">
        <v>430</v>
      </c>
      <c r="AT3">
        <v>428</v>
      </c>
      <c r="AU3">
        <v>430</v>
      </c>
      <c r="AV3">
        <v>426</v>
      </c>
      <c r="AW3">
        <v>428</v>
      </c>
      <c r="AX3">
        <v>439</v>
      </c>
    </row>
    <row r="4" spans="1:55">
      <c r="C4" t="s">
        <v>17</v>
      </c>
      <c r="D4" s="5">
        <f>AVERAGE(D3:O3)</f>
        <v>396.33333333333331</v>
      </c>
      <c r="E4" s="5">
        <f>AVERAGE(E3:O3)</f>
        <v>395.54545454545456</v>
      </c>
      <c r="F4" s="5">
        <f>AVERAGE(F3:O3)</f>
        <v>394.4</v>
      </c>
      <c r="G4" s="5">
        <f>AVERAGE(G3:O3)</f>
        <v>393.88888888888891</v>
      </c>
      <c r="H4" s="5">
        <f>AVERAGE(H3:O3)</f>
        <v>393.625</v>
      </c>
      <c r="I4" s="5">
        <f>AVERAGE(I3:O3)</f>
        <v>393.28571428571428</v>
      </c>
      <c r="J4" s="5">
        <f>AVERAGE(J3:O3)</f>
        <v>392.66666666666669</v>
      </c>
      <c r="K4" s="5">
        <f>AVERAGE(K3:O3)</f>
        <v>391.2</v>
      </c>
      <c r="L4" s="5">
        <f>AVERAGE(L3:O3)</f>
        <v>390.25</v>
      </c>
      <c r="M4" s="5">
        <f>AVERAGE(M3:O3)</f>
        <v>391.33333333333331</v>
      </c>
      <c r="N4" s="5">
        <f>AVERAGE(N3:O3)</f>
        <v>394.5</v>
      </c>
      <c r="O4" s="5">
        <f>AVERAGE(O3:O3)</f>
        <v>397</v>
      </c>
      <c r="P4" s="5">
        <f>AVERAGE(P3:AA3)</f>
        <v>420.66666666666669</v>
      </c>
      <c r="Q4" s="5">
        <f>AVERAGE(Q3:AA3)</f>
        <v>420.90909090909093</v>
      </c>
      <c r="R4" s="5">
        <f>AVERAGE(R3:AA3)</f>
        <v>421.3</v>
      </c>
      <c r="S4" s="5">
        <f>AVERAGE(S3:AA3)</f>
        <v>421.33333333333331</v>
      </c>
      <c r="T4" s="5">
        <f>AVERAGE(T3:AA3)</f>
        <v>420.75</v>
      </c>
      <c r="U4" s="5">
        <f>AVERAGE(U3:AA3)</f>
        <v>421.28571428571428</v>
      </c>
      <c r="V4" s="5">
        <f>AVERAGE(V3:AA3)</f>
        <v>420.83333333333331</v>
      </c>
      <c r="W4" s="5">
        <f>AVERAGE(W3:AA3)</f>
        <v>420.2</v>
      </c>
      <c r="X4" s="5">
        <f>AVERAGE(X3:AA3)</f>
        <v>420.25</v>
      </c>
      <c r="Y4" s="5">
        <f>AVERAGE(Y3:AA3)</f>
        <v>420.33333333333331</v>
      </c>
      <c r="Z4" s="5">
        <f>AVERAGE(Z3:AA3)</f>
        <v>419</v>
      </c>
      <c r="AA4" s="5">
        <f>AVERAGE(AA3:AA3)</f>
        <v>421</v>
      </c>
      <c r="AB4" s="5">
        <f>AVERAGE(AB3:AL3)</f>
        <v>442.54545454545456</v>
      </c>
      <c r="AC4" s="5">
        <f>AVERAGE(AC3:AL3)</f>
        <v>441.7</v>
      </c>
      <c r="AD4" s="5">
        <f>AVERAGE(AD3:AL3)</f>
        <v>441.22222222222223</v>
      </c>
      <c r="AE4" s="5">
        <f>AVERAGE(AE3:AL3)</f>
        <v>441.25</v>
      </c>
      <c r="AF4" s="5">
        <f>AVERAGE(AF3:AL3)</f>
        <v>441.57142857142856</v>
      </c>
      <c r="AG4" s="5">
        <f>AVERAGE(AG3:AL3)</f>
        <v>443.33333333333331</v>
      </c>
      <c r="AH4" s="5">
        <f>AVERAGE(AH3:AL3)</f>
        <v>444</v>
      </c>
      <c r="AI4" s="5">
        <f>AVERAGE(AI3:AL3)</f>
        <v>443.75</v>
      </c>
      <c r="AJ4" s="5">
        <f>AVERAGE(AJ3:AL3)</f>
        <v>444.66666666666669</v>
      </c>
      <c r="AK4" s="5">
        <f>AVERAGE(AK3:AL3)</f>
        <v>445</v>
      </c>
      <c r="AL4" s="5">
        <f>+AL3</f>
        <v>449</v>
      </c>
      <c r="AM4" s="5">
        <f>AVERAGE(AN3:AX3)</f>
        <v>432.36363636363637</v>
      </c>
      <c r="AN4" s="5">
        <f>AVERAGE(AN3:AX3)</f>
        <v>432.36363636363637</v>
      </c>
      <c r="AO4" s="5">
        <f>AVERAGE(AO3:AX3)</f>
        <v>431.8</v>
      </c>
      <c r="AP4" s="5">
        <f>AVERAGE(AP3:AX3)</f>
        <v>431.22222222222223</v>
      </c>
      <c r="AQ4" s="5">
        <f>AVERAGE(AQ3:AX3)</f>
        <v>430.75</v>
      </c>
      <c r="AR4" s="5">
        <f>AVERAGE(AR3:AX3)</f>
        <v>430.42857142857144</v>
      </c>
      <c r="AS4" s="5">
        <f>AVERAGE(AS3:AX3)</f>
        <v>430.16666666666669</v>
      </c>
      <c r="AT4" s="5">
        <f>AVERAGE(AT3:AX3)</f>
        <v>430.2</v>
      </c>
      <c r="AU4" s="5">
        <f>AVERAGE(AU3:AX3)</f>
        <v>430.75</v>
      </c>
      <c r="AV4" s="5">
        <f>AVERAGE(AV3:AW3)</f>
        <v>427</v>
      </c>
      <c r="AW4" s="5">
        <f>AVERAGE(AW3:AX3)</f>
        <v>433.5</v>
      </c>
      <c r="AX4">
        <f>+AX3</f>
        <v>439</v>
      </c>
    </row>
    <row r="5" spans="1:55">
      <c r="C5" t="s">
        <v>19</v>
      </c>
      <c r="D5">
        <v>415</v>
      </c>
      <c r="E5">
        <v>415</v>
      </c>
      <c r="F5">
        <v>415</v>
      </c>
      <c r="G5">
        <v>415</v>
      </c>
      <c r="H5">
        <v>415</v>
      </c>
      <c r="I5">
        <v>415</v>
      </c>
      <c r="J5">
        <v>415</v>
      </c>
      <c r="K5">
        <v>415</v>
      </c>
      <c r="L5">
        <v>415</v>
      </c>
      <c r="M5">
        <v>415</v>
      </c>
      <c r="N5">
        <v>415</v>
      </c>
      <c r="O5">
        <v>415</v>
      </c>
      <c r="P5">
        <v>445</v>
      </c>
      <c r="Q5">
        <v>445</v>
      </c>
      <c r="R5">
        <v>445</v>
      </c>
      <c r="S5">
        <v>445</v>
      </c>
      <c r="T5">
        <v>445</v>
      </c>
      <c r="U5">
        <v>445</v>
      </c>
      <c r="V5">
        <v>445</v>
      </c>
      <c r="W5">
        <v>445</v>
      </c>
      <c r="X5">
        <v>445</v>
      </c>
      <c r="Y5">
        <v>445</v>
      </c>
      <c r="Z5">
        <v>445</v>
      </c>
      <c r="AA5">
        <v>445</v>
      </c>
      <c r="AB5">
        <v>461</v>
      </c>
      <c r="AC5">
        <v>461</v>
      </c>
      <c r="AD5">
        <v>461</v>
      </c>
      <c r="AE5">
        <v>461</v>
      </c>
      <c r="AF5">
        <v>461</v>
      </c>
      <c r="AG5">
        <v>461</v>
      </c>
      <c r="AH5">
        <v>461</v>
      </c>
      <c r="AI5">
        <v>461</v>
      </c>
      <c r="AJ5">
        <v>461</v>
      </c>
      <c r="AK5">
        <v>461</v>
      </c>
      <c r="AL5">
        <v>461</v>
      </c>
      <c r="AM5">
        <v>460</v>
      </c>
      <c r="AN5">
        <v>460</v>
      </c>
      <c r="AO5">
        <v>460</v>
      </c>
      <c r="AP5">
        <v>460</v>
      </c>
      <c r="AQ5">
        <v>460</v>
      </c>
      <c r="AR5">
        <v>460</v>
      </c>
      <c r="AS5">
        <v>460</v>
      </c>
      <c r="AT5">
        <v>460</v>
      </c>
      <c r="AU5">
        <v>460</v>
      </c>
      <c r="AV5">
        <v>460</v>
      </c>
      <c r="AW5">
        <v>460</v>
      </c>
      <c r="AX5">
        <v>460</v>
      </c>
    </row>
    <row r="6" spans="1:55">
      <c r="C6" t="s">
        <v>21</v>
      </c>
      <c r="D6" s="5">
        <f t="shared" ref="D6" si="0">+D4-D5</f>
        <v>-18.666666666666686</v>
      </c>
      <c r="E6" s="5">
        <f t="shared" ref="E6:F6" si="1">+E4-E5</f>
        <v>-19.454545454545439</v>
      </c>
      <c r="F6" s="5">
        <f t="shared" si="1"/>
        <v>-20.600000000000023</v>
      </c>
      <c r="G6" s="5">
        <f t="shared" ref="G6" si="2">+G4-G5</f>
        <v>-21.111111111111086</v>
      </c>
      <c r="H6" s="5">
        <f t="shared" ref="H6" si="3">+H4-H5</f>
        <v>-21.375</v>
      </c>
      <c r="I6" s="5">
        <f t="shared" ref="I6:J6" si="4">+I4-I5</f>
        <v>-21.714285714285722</v>
      </c>
      <c r="J6" s="5">
        <f t="shared" si="4"/>
        <v>-22.333333333333314</v>
      </c>
      <c r="K6" s="5">
        <f t="shared" ref="K6:L6" si="5">+K4-K5</f>
        <v>-23.800000000000011</v>
      </c>
      <c r="L6" s="5">
        <f t="shared" si="5"/>
        <v>-24.75</v>
      </c>
      <c r="M6" s="5">
        <f t="shared" ref="M6:N6" si="6">+M4-M5</f>
        <v>-23.666666666666686</v>
      </c>
      <c r="N6" s="5">
        <f t="shared" si="6"/>
        <v>-20.5</v>
      </c>
      <c r="O6" s="5">
        <f t="shared" ref="O6:AX6" si="7">+O4-O5</f>
        <v>-18</v>
      </c>
      <c r="P6" s="5">
        <f t="shared" si="7"/>
        <v>-24.333333333333314</v>
      </c>
      <c r="Q6" s="5">
        <f t="shared" si="7"/>
        <v>-24.090909090909065</v>
      </c>
      <c r="R6" s="5">
        <f t="shared" si="7"/>
        <v>-23.699999999999989</v>
      </c>
      <c r="S6" s="5">
        <f t="shared" si="7"/>
        <v>-23.666666666666686</v>
      </c>
      <c r="T6" s="5">
        <f t="shared" si="7"/>
        <v>-24.25</v>
      </c>
      <c r="U6" s="5">
        <f t="shared" si="7"/>
        <v>-23.714285714285722</v>
      </c>
      <c r="V6" s="5">
        <f t="shared" si="7"/>
        <v>-24.166666666666686</v>
      </c>
      <c r="W6" s="5">
        <f t="shared" si="7"/>
        <v>-24.800000000000011</v>
      </c>
      <c r="X6" s="5">
        <f t="shared" si="7"/>
        <v>-24.75</v>
      </c>
      <c r="Y6" s="5">
        <f t="shared" si="7"/>
        <v>-24.666666666666686</v>
      </c>
      <c r="Z6" s="5">
        <f t="shared" si="7"/>
        <v>-26</v>
      </c>
      <c r="AA6" s="5">
        <f t="shared" si="7"/>
        <v>-24</v>
      </c>
      <c r="AB6" s="5">
        <f t="shared" si="7"/>
        <v>-18.454545454545439</v>
      </c>
      <c r="AC6" s="5">
        <f t="shared" si="7"/>
        <v>-19.300000000000011</v>
      </c>
      <c r="AD6" s="5">
        <f t="shared" si="7"/>
        <v>-19.777777777777771</v>
      </c>
      <c r="AE6" s="5">
        <f t="shared" si="7"/>
        <v>-19.75</v>
      </c>
      <c r="AF6" s="5">
        <f t="shared" si="7"/>
        <v>-19.428571428571445</v>
      </c>
      <c r="AG6" s="5">
        <f t="shared" si="7"/>
        <v>-17.666666666666686</v>
      </c>
      <c r="AH6" s="5">
        <f t="shared" si="7"/>
        <v>-17</v>
      </c>
      <c r="AI6" s="5">
        <f t="shared" si="7"/>
        <v>-17.25</v>
      </c>
      <c r="AJ6" s="5">
        <f t="shared" si="7"/>
        <v>-16.333333333333314</v>
      </c>
      <c r="AK6" s="5">
        <f t="shared" si="7"/>
        <v>-16</v>
      </c>
      <c r="AL6" s="5">
        <f t="shared" si="7"/>
        <v>-12</v>
      </c>
      <c r="AM6" s="5">
        <f t="shared" si="7"/>
        <v>-27.636363636363626</v>
      </c>
      <c r="AN6" s="5">
        <f t="shared" si="7"/>
        <v>-27.636363636363626</v>
      </c>
      <c r="AO6" s="5">
        <f t="shared" si="7"/>
        <v>-28.199999999999989</v>
      </c>
      <c r="AP6" s="5">
        <f t="shared" si="7"/>
        <v>-28.777777777777771</v>
      </c>
      <c r="AQ6" s="5">
        <f t="shared" si="7"/>
        <v>-29.25</v>
      </c>
      <c r="AR6" s="5">
        <f t="shared" si="7"/>
        <v>-29.571428571428555</v>
      </c>
      <c r="AS6" s="5">
        <f t="shared" si="7"/>
        <v>-29.833333333333314</v>
      </c>
      <c r="AT6" s="5">
        <f t="shared" si="7"/>
        <v>-29.800000000000011</v>
      </c>
      <c r="AU6" s="5">
        <f t="shared" si="7"/>
        <v>-29.25</v>
      </c>
      <c r="AV6" s="5">
        <f t="shared" si="7"/>
        <v>-33</v>
      </c>
      <c r="AW6" s="5">
        <f t="shared" si="7"/>
        <v>-26.5</v>
      </c>
      <c r="AX6" s="5">
        <f t="shared" si="7"/>
        <v>-21</v>
      </c>
    </row>
    <row r="7" spans="1:55">
      <c r="C7" t="s">
        <v>23</v>
      </c>
      <c r="D7" s="7">
        <f t="shared" ref="D7" si="8">+D6*168</f>
        <v>-3136.0000000000032</v>
      </c>
      <c r="E7" s="7">
        <f t="shared" ref="E7:F7" si="9">+E6*168</f>
        <v>-3268.3636363636338</v>
      </c>
      <c r="F7" s="7">
        <f t="shared" si="9"/>
        <v>-3460.8000000000038</v>
      </c>
      <c r="G7" s="7">
        <f t="shared" ref="G7" si="10">+G6*168</f>
        <v>-3546.6666666666624</v>
      </c>
      <c r="H7" s="7">
        <f t="shared" ref="H7" si="11">+H6*168</f>
        <v>-3591</v>
      </c>
      <c r="I7" s="7">
        <f t="shared" ref="I7:J7" si="12">+I6*168</f>
        <v>-3648.0000000000014</v>
      </c>
      <c r="J7" s="7">
        <f t="shared" si="12"/>
        <v>-3751.9999999999968</v>
      </c>
      <c r="K7" s="7">
        <f t="shared" ref="K7:L7" si="13">+K6*168</f>
        <v>-3998.4000000000019</v>
      </c>
      <c r="L7" s="7">
        <f t="shared" si="13"/>
        <v>-4158</v>
      </c>
      <c r="M7" s="7">
        <f t="shared" ref="M7:N7" si="14">+M6*168</f>
        <v>-3976.0000000000032</v>
      </c>
      <c r="N7" s="7">
        <f t="shared" si="14"/>
        <v>-3444</v>
      </c>
      <c r="O7" s="7">
        <f t="shared" ref="O7:AX7" si="15">+O6*168</f>
        <v>-3024</v>
      </c>
      <c r="P7" s="7">
        <f t="shared" si="15"/>
        <v>-4087.9999999999968</v>
      </c>
      <c r="Q7" s="7">
        <f t="shared" si="15"/>
        <v>-4047.2727272727229</v>
      </c>
      <c r="R7" s="7">
        <f t="shared" si="15"/>
        <v>-3981.5999999999981</v>
      </c>
      <c r="S7" s="7">
        <f t="shared" si="15"/>
        <v>-3976.0000000000032</v>
      </c>
      <c r="T7" s="7">
        <f t="shared" si="15"/>
        <v>-4074</v>
      </c>
      <c r="U7" s="7">
        <f t="shared" si="15"/>
        <v>-3984.0000000000014</v>
      </c>
      <c r="V7" s="7">
        <f t="shared" si="15"/>
        <v>-4060.0000000000032</v>
      </c>
      <c r="W7" s="7">
        <f t="shared" si="15"/>
        <v>-4166.4000000000015</v>
      </c>
      <c r="X7" s="7">
        <f t="shared" si="15"/>
        <v>-4158</v>
      </c>
      <c r="Y7" s="7">
        <f t="shared" si="15"/>
        <v>-4144.0000000000036</v>
      </c>
      <c r="Z7" s="7">
        <f t="shared" si="15"/>
        <v>-4368</v>
      </c>
      <c r="AA7" s="7">
        <f t="shared" si="15"/>
        <v>-4032</v>
      </c>
      <c r="AB7" s="7">
        <f t="shared" si="15"/>
        <v>-3100.3636363636338</v>
      </c>
      <c r="AC7" s="7">
        <f t="shared" si="15"/>
        <v>-3242.4000000000019</v>
      </c>
      <c r="AD7" s="7">
        <f t="shared" si="15"/>
        <v>-3322.6666666666656</v>
      </c>
      <c r="AE7" s="7">
        <f t="shared" si="15"/>
        <v>-3318</v>
      </c>
      <c r="AF7" s="7">
        <f t="shared" si="15"/>
        <v>-3264.0000000000027</v>
      </c>
      <c r="AG7" s="7">
        <f t="shared" si="15"/>
        <v>-2968.0000000000032</v>
      </c>
      <c r="AH7" s="7">
        <f t="shared" si="15"/>
        <v>-2856</v>
      </c>
      <c r="AI7" s="7">
        <f t="shared" si="15"/>
        <v>-2898</v>
      </c>
      <c r="AJ7" s="7">
        <f t="shared" si="15"/>
        <v>-2743.9999999999968</v>
      </c>
      <c r="AK7" s="7">
        <f t="shared" si="15"/>
        <v>-2688</v>
      </c>
      <c r="AL7" s="7">
        <f t="shared" si="15"/>
        <v>-2016</v>
      </c>
      <c r="AM7" s="7">
        <f t="shared" si="15"/>
        <v>-4642.9090909090892</v>
      </c>
      <c r="AN7" s="7">
        <f t="shared" si="15"/>
        <v>-4642.9090909090892</v>
      </c>
      <c r="AO7" s="7">
        <f t="shared" si="15"/>
        <v>-4737.5999999999985</v>
      </c>
      <c r="AP7" s="7">
        <f t="shared" si="15"/>
        <v>-4834.6666666666661</v>
      </c>
      <c r="AQ7" s="7">
        <f t="shared" si="15"/>
        <v>-4914</v>
      </c>
      <c r="AR7" s="7">
        <f t="shared" si="15"/>
        <v>-4967.9999999999973</v>
      </c>
      <c r="AS7" s="7">
        <f t="shared" si="15"/>
        <v>-5011.9999999999964</v>
      </c>
      <c r="AT7" s="7">
        <f t="shared" si="15"/>
        <v>-5006.4000000000015</v>
      </c>
      <c r="AU7" s="7">
        <f t="shared" si="15"/>
        <v>-4914</v>
      </c>
      <c r="AV7" s="7">
        <f t="shared" si="15"/>
        <v>-5544</v>
      </c>
      <c r="AW7" s="7">
        <f t="shared" si="15"/>
        <v>-4452</v>
      </c>
      <c r="AX7" s="7">
        <f t="shared" si="15"/>
        <v>-3528</v>
      </c>
    </row>
    <row r="9" spans="1:55">
      <c r="C9" t="s">
        <v>47</v>
      </c>
      <c r="D9" s="13">
        <f>(154801.49-68573.91-39133-19800)</f>
        <v>27294.579999999987</v>
      </c>
      <c r="E9" s="13">
        <f>(153315.22-68538.91-39133-19950)</f>
        <v>25693.309999999998</v>
      </c>
      <c r="F9" s="13">
        <f>(151296.12-68272.91-39133-19762.5)</f>
        <v>24127.709999999992</v>
      </c>
      <c r="G9" s="13">
        <f>(147112.31-67824.91-39133-19550)</f>
        <v>20604.399999999994</v>
      </c>
      <c r="H9" s="13">
        <f>(142407.77-39133-66893.91-19387.5)</f>
        <v>16993.359999999986</v>
      </c>
      <c r="I9" s="13">
        <f>(139856.59-39133-66263.91-19062.5)</f>
        <v>15397.179999999993</v>
      </c>
      <c r="J9" s="13">
        <f>(136007.43-39133-64842.16-18587.5)</f>
        <v>13444.76999999999</v>
      </c>
      <c r="K9" s="13">
        <f>(131771.28-63099-39133-17437.5)</f>
        <v>12101.779999999999</v>
      </c>
      <c r="L9" s="13">
        <f>(125494.11-39091-60656.16-16737.5)</f>
        <v>9009.4499999999971</v>
      </c>
      <c r="M9" s="13">
        <f>(111292.57-57086.5-15950-31766)</f>
        <v>6490.070000000007</v>
      </c>
      <c r="N9" s="13">
        <f>(80242.26-8204-15400-52420.59)</f>
        <v>4217.6699999999983</v>
      </c>
      <c r="O9" s="13">
        <f>(64009.71-13787.5-47447.59)</f>
        <v>2774.6200000000026</v>
      </c>
      <c r="P9" s="16">
        <v>31472.04</v>
      </c>
      <c r="Q9" s="16">
        <v>30311.14</v>
      </c>
      <c r="R9" s="16">
        <v>28557.37</v>
      </c>
      <c r="S9" s="16">
        <v>27103.56</v>
      </c>
      <c r="T9" s="16">
        <v>24629.8</v>
      </c>
      <c r="U9" s="1">
        <f>152288.03-70003.48-19432.5-39847</f>
        <v>23005.050000000003</v>
      </c>
      <c r="V9" s="1">
        <f>147875.59-39847-68561.48-18545</f>
        <v>20922.11</v>
      </c>
      <c r="W9" s="1">
        <f>137852.19-67063.48-17420-36040</f>
        <v>17328.710000000006</v>
      </c>
      <c r="X9" s="1">
        <f>127375.56-29573-65297.23-17057.5</f>
        <v>15447.829999999994</v>
      </c>
      <c r="Y9" s="1">
        <f>100592.34-62570.56-16307.5-8244</f>
        <v>13470.279999999999</v>
      </c>
      <c r="Z9" s="1">
        <f>80791.57-56664.15-15745</f>
        <v>8382.4200000000055</v>
      </c>
      <c r="AA9" s="1">
        <f>70654.5-14395-50670.65</f>
        <v>5588.8499999999985</v>
      </c>
      <c r="AB9" s="1">
        <f>186541.69-50742-73758.84-21200</f>
        <v>40840.850000000006</v>
      </c>
      <c r="AC9" s="1">
        <f>179593.44-50742-73555.84-21187.5</f>
        <v>34108.100000000006</v>
      </c>
      <c r="AD9" s="1">
        <f>168214.77-73037.84-21062.5-50742</f>
        <v>23372.429999999993</v>
      </c>
      <c r="AE9" s="1">
        <f>165275.02-50742-72421.84-20762.5</f>
        <v>21348.679999999993</v>
      </c>
      <c r="AF9" s="1">
        <f>161997.84-50677-20625-71189.84</f>
        <v>19506</v>
      </c>
      <c r="AG9" s="1">
        <f>158489.58-50677-69999.84-19787.5</f>
        <v>18025.239999999991</v>
      </c>
      <c r="AH9" s="1">
        <f>152773.52-18587.5-68899.94-49811</f>
        <v>15475.079999999987</v>
      </c>
      <c r="AI9" s="1">
        <f>142850.75-43480-66953.84-18050</f>
        <v>14366.910000000003</v>
      </c>
      <c r="AJ9" s="1">
        <f>117858.96-25433-64007.84-17262.5</f>
        <v>11155.62000000001</v>
      </c>
      <c r="AK9" s="1">
        <f>103380.46-19355-60530.17-16575</f>
        <v>6920.2900000000081</v>
      </c>
      <c r="AL9" s="1">
        <f>91409.49-17515-53484.25-14875</f>
        <v>5535.2400000000052</v>
      </c>
      <c r="BC9" t="s">
        <v>26</v>
      </c>
    </row>
    <row r="10" spans="1:55">
      <c r="C10" t="s">
        <v>45</v>
      </c>
      <c r="D10" s="14">
        <f>(161708-73902-42162-20000)/12*12</f>
        <v>25644</v>
      </c>
      <c r="E10" s="14">
        <f>(161708-73902-42162-20000)/12*11</f>
        <v>23507</v>
      </c>
      <c r="F10" s="14">
        <f>(161708-73902-42162-20000)/12*10</f>
        <v>21370</v>
      </c>
      <c r="G10" s="14">
        <f>(161708-73902-42162-20000)/12*9</f>
        <v>19233</v>
      </c>
      <c r="H10" s="14">
        <f>(161708-73902-42162-20000)/12*8</f>
        <v>17096</v>
      </c>
      <c r="I10" s="14">
        <f>(161708-73902-42162-20000)/12*7</f>
        <v>14959</v>
      </c>
      <c r="J10" s="14">
        <f>(161708-73902-42162-20000)/12*6</f>
        <v>12822</v>
      </c>
      <c r="K10" s="14">
        <f>(161708-73902-42162-20000)/12*5</f>
        <v>10685</v>
      </c>
      <c r="L10" s="14">
        <f>(161708-73902-42162-20000)/12*4</f>
        <v>8548</v>
      </c>
      <c r="M10" s="14">
        <f>(161708-73902-42162-20000)/12*3</f>
        <v>6411</v>
      </c>
      <c r="N10" s="14">
        <f>(161708-73902-42162-20000)/12*2</f>
        <v>4274</v>
      </c>
      <c r="O10" s="14">
        <f>(161708-73902-42162-20000)/12*1</f>
        <v>2137</v>
      </c>
      <c r="P10" s="15">
        <f>(174743-45101-78942-20000)/12*12</f>
        <v>30700</v>
      </c>
      <c r="Q10" s="15">
        <f>(174743-45101-78942-20000)/12*11</f>
        <v>28141.666666666668</v>
      </c>
      <c r="R10" s="15">
        <f>(174743-45101-78942-20000)/12*10</f>
        <v>25583.333333333336</v>
      </c>
      <c r="S10" s="15">
        <f>(174743-45101-78942-20000)/12*9</f>
        <v>23025</v>
      </c>
      <c r="T10" s="15">
        <f>(174743-45101-78942-20000)/12*8</f>
        <v>20466.666666666668</v>
      </c>
      <c r="U10" s="1">
        <f>(174743-45101-78942-20000)/12*7</f>
        <v>17908.333333333336</v>
      </c>
      <c r="V10" s="1">
        <f>(174743-45101-78942-20000)/12*6</f>
        <v>15350</v>
      </c>
      <c r="W10" s="1">
        <f>(174743-45101-78942-20000)/12*5</f>
        <v>12791.666666666668</v>
      </c>
      <c r="X10" s="1">
        <f>(174743-45101-78942-20000)/12*4</f>
        <v>10233.333333333334</v>
      </c>
      <c r="Y10" s="1">
        <f>(174743-45101-78942-20000)/12*3</f>
        <v>7675</v>
      </c>
      <c r="Z10" s="1">
        <f>(174743-45101-78942-20000)/12*2</f>
        <v>5116.666666666667</v>
      </c>
      <c r="AA10" s="1">
        <f>(174743-45101-78942-20000)/12</f>
        <v>2558.3333333333335</v>
      </c>
      <c r="AB10" s="1">
        <f>(58217-18000)/12*11</f>
        <v>36865.583333333328</v>
      </c>
      <c r="AC10" s="1">
        <f>(58217-18000)/12*10</f>
        <v>33514.166666666664</v>
      </c>
      <c r="AD10" s="1">
        <f>(58217-18000)/12*9</f>
        <v>30162.75</v>
      </c>
      <c r="AE10" s="1">
        <f>(58217-18000)/12*8</f>
        <v>26811.333333333332</v>
      </c>
      <c r="AF10" s="1">
        <f>(58217-18000)/12*7</f>
        <v>23459.916666666664</v>
      </c>
      <c r="AG10" s="1">
        <f>(58217-18000)/12*6</f>
        <v>20108.5</v>
      </c>
      <c r="AH10" s="1">
        <f>(58217-18000)/12*5</f>
        <v>16757.083333333332</v>
      </c>
      <c r="AI10" s="1">
        <f>(58217-18000)/12*4</f>
        <v>13405.666666666666</v>
      </c>
      <c r="AJ10" s="1">
        <f>(58217-18000)/12*3</f>
        <v>10054.25</v>
      </c>
      <c r="AK10" s="1">
        <f>(58217-18000)/12*2</f>
        <v>6702.833333333333</v>
      </c>
      <c r="AL10" s="1">
        <f>(58217-18000)/12</f>
        <v>3351.4166666666665</v>
      </c>
    </row>
    <row r="11" spans="1:55">
      <c r="C11" t="s">
        <v>29</v>
      </c>
      <c r="D11" s="7">
        <f t="shared" ref="D11" si="16">+D9-D10</f>
        <v>1650.5799999999872</v>
      </c>
      <c r="E11" s="7">
        <f t="shared" ref="E11:F11" si="17">+E9-E10</f>
        <v>2186.3099999999977</v>
      </c>
      <c r="F11" s="7">
        <f t="shared" si="17"/>
        <v>2757.7099999999919</v>
      </c>
      <c r="G11" s="7">
        <f t="shared" ref="G11" si="18">+G9-G10</f>
        <v>1371.3999999999942</v>
      </c>
      <c r="H11" s="7">
        <f t="shared" ref="H11" si="19">+H9-H10</f>
        <v>-102.64000000001397</v>
      </c>
      <c r="I11" s="7">
        <f t="shared" ref="I11:J11" si="20">+I9-I10</f>
        <v>438.17999999999302</v>
      </c>
      <c r="J11" s="7">
        <f t="shared" si="20"/>
        <v>622.76999999998952</v>
      </c>
      <c r="K11" s="7">
        <f t="shared" ref="K11:L11" si="21">+K9-K10</f>
        <v>1416.7799999999988</v>
      </c>
      <c r="L11" s="7">
        <f t="shared" si="21"/>
        <v>461.44999999999709</v>
      </c>
      <c r="M11" s="7">
        <f t="shared" ref="M11:N11" si="22">+M9-M10</f>
        <v>79.070000000006985</v>
      </c>
      <c r="N11" s="7">
        <f t="shared" si="22"/>
        <v>-56.330000000001746</v>
      </c>
      <c r="O11" s="7">
        <f t="shared" ref="O11:AL11" si="23">+O9-O10</f>
        <v>637.62000000000262</v>
      </c>
      <c r="P11" s="7">
        <f t="shared" si="23"/>
        <v>772.04000000000087</v>
      </c>
      <c r="Q11" s="7">
        <f t="shared" si="23"/>
        <v>2169.4733333333315</v>
      </c>
      <c r="R11" s="7">
        <f t="shared" si="23"/>
        <v>2974.0366666666632</v>
      </c>
      <c r="S11" s="7">
        <f t="shared" si="23"/>
        <v>4078.5600000000013</v>
      </c>
      <c r="T11" s="7">
        <f t="shared" si="23"/>
        <v>4163.1333333333314</v>
      </c>
      <c r="U11" s="7">
        <f t="shared" si="23"/>
        <v>5096.7166666666672</v>
      </c>
      <c r="V11" s="7">
        <f t="shared" si="23"/>
        <v>5572.1100000000006</v>
      </c>
      <c r="W11" s="7">
        <f t="shared" si="23"/>
        <v>4537.0433333333385</v>
      </c>
      <c r="X11" s="7">
        <f t="shared" si="23"/>
        <v>5214.4966666666605</v>
      </c>
      <c r="Y11" s="7">
        <f t="shared" si="23"/>
        <v>5795.2799999999988</v>
      </c>
      <c r="Z11" s="7">
        <f t="shared" si="23"/>
        <v>3265.7533333333386</v>
      </c>
      <c r="AA11" s="7">
        <f t="shared" si="23"/>
        <v>3030.5166666666651</v>
      </c>
      <c r="AB11" s="7">
        <f t="shared" si="23"/>
        <v>3975.2666666666773</v>
      </c>
      <c r="AC11" s="7">
        <f t="shared" si="23"/>
        <v>593.93333333334158</v>
      </c>
      <c r="AD11" s="7">
        <f t="shared" si="23"/>
        <v>-6790.320000000007</v>
      </c>
      <c r="AE11" s="7">
        <f t="shared" si="23"/>
        <v>-5462.6533333333391</v>
      </c>
      <c r="AF11" s="7">
        <f t="shared" si="23"/>
        <v>-3953.9166666666642</v>
      </c>
      <c r="AG11" s="7">
        <f t="shared" si="23"/>
        <v>-2083.2600000000093</v>
      </c>
      <c r="AH11" s="7">
        <f t="shared" si="23"/>
        <v>-1282.0033333333449</v>
      </c>
      <c r="AI11" s="7">
        <f t="shared" si="23"/>
        <v>961.24333333333743</v>
      </c>
      <c r="AJ11" s="7">
        <f t="shared" si="23"/>
        <v>1101.3700000000099</v>
      </c>
      <c r="AK11" s="7">
        <f t="shared" si="23"/>
        <v>217.45666666667512</v>
      </c>
      <c r="AL11" s="7">
        <f t="shared" si="23"/>
        <v>2183.8233333333387</v>
      </c>
    </row>
    <row r="12" spans="1:55"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55">
      <c r="C13" t="s">
        <v>48</v>
      </c>
      <c r="D13" s="14">
        <f>(135067.49-23755.84)</f>
        <v>111311.65</v>
      </c>
      <c r="E13" s="14">
        <f>(125182.71-23755.84)</f>
        <v>101426.87000000001</v>
      </c>
      <c r="F13" s="14">
        <f>(116596.59-23755.84)</f>
        <v>92840.75</v>
      </c>
      <c r="G13" s="14">
        <f>(106649.09-23755.84)</f>
        <v>82893.25</v>
      </c>
      <c r="H13" s="14">
        <f>(96846.84-23755.84)</f>
        <v>73091</v>
      </c>
      <c r="I13" s="14">
        <f>(88425.34-23755.84)</f>
        <v>64669.5</v>
      </c>
      <c r="J13" s="14">
        <f>(77233.86-23755.84)</f>
        <v>53478.020000000004</v>
      </c>
      <c r="K13" s="14">
        <f>(53834.91-8057.02)</f>
        <v>45777.89</v>
      </c>
      <c r="L13" s="14">
        <f>(44391.49-7344.94)</f>
        <v>37046.549999999996</v>
      </c>
      <c r="M13" s="14">
        <f>(27338.65-1526.32)</f>
        <v>25812.33</v>
      </c>
      <c r="N13" s="14">
        <f>(19258.71-1288.57)</f>
        <v>17970.14</v>
      </c>
      <c r="O13" s="14">
        <f>(10649.99-506.65)</f>
        <v>10143.34</v>
      </c>
      <c r="P13" s="9">
        <v>115540.4</v>
      </c>
      <c r="Q13" s="9">
        <v>104659.05</v>
      </c>
      <c r="R13" s="9">
        <v>95877.11</v>
      </c>
      <c r="S13" s="9">
        <v>86530.68</v>
      </c>
      <c r="T13" s="9">
        <v>78335.34</v>
      </c>
      <c r="U13" s="1">
        <f>98543.87-28573.11</f>
        <v>69970.759999999995</v>
      </c>
      <c r="V13" s="1">
        <f>68115.97-9005.62</f>
        <v>59110.35</v>
      </c>
      <c r="W13" s="1">
        <f>51337.23-2013.16</f>
        <v>49324.07</v>
      </c>
      <c r="X13" s="1">
        <f>41173.06-1105.92</f>
        <v>40067.14</v>
      </c>
      <c r="Y13" s="1">
        <f>31849.6-797.94</f>
        <v>31051.66</v>
      </c>
      <c r="Z13" s="1">
        <f>21770.23-197.94</f>
        <v>21572.29</v>
      </c>
      <c r="AA13" s="1">
        <f>13700.23-197.94</f>
        <v>13502.289999999999</v>
      </c>
      <c r="AB13" s="1">
        <f>141771.38-37905.51</f>
        <v>103865.87</v>
      </c>
      <c r="AC13" s="1">
        <f>131940.21-37617.8</f>
        <v>94322.409999999989</v>
      </c>
      <c r="AD13" s="1">
        <f>123167.82-36987</f>
        <v>86180.82</v>
      </c>
      <c r="AE13" s="1">
        <f>115581.16-36987</f>
        <v>78594.16</v>
      </c>
      <c r="AF13" s="1">
        <f>100991.76-36987</f>
        <v>64004.759999999995</v>
      </c>
      <c r="AG13" s="1">
        <f>89873.8-35301.79</f>
        <v>54572.01</v>
      </c>
      <c r="AH13" s="1">
        <f>57686.79-10566.83</f>
        <v>47119.96</v>
      </c>
      <c r="AI13" s="1">
        <f>46573.23-7698.84</f>
        <v>38874.39</v>
      </c>
      <c r="AJ13" s="1">
        <f>35702.89-6835.98</f>
        <v>28866.91</v>
      </c>
      <c r="AK13" s="1">
        <f>15509.91-392.48</f>
        <v>15117.43</v>
      </c>
      <c r="AL13" s="1">
        <f>9727.03-198.3</f>
        <v>9528.7300000000014</v>
      </c>
      <c r="AM13" s="1">
        <f>165283.61-55089.91</f>
        <v>110193.69999999998</v>
      </c>
      <c r="AN13" s="1">
        <f>154985.88-55089.91</f>
        <v>99895.97</v>
      </c>
      <c r="AO13" s="1">
        <f>147908.73-55089.91</f>
        <v>92818.82</v>
      </c>
      <c r="AP13" s="1">
        <f>137385.94-53318.11</f>
        <v>84067.83</v>
      </c>
      <c r="AQ13" s="1">
        <f>129017.7-53318.11</f>
        <v>75699.59</v>
      </c>
      <c r="AR13" s="1">
        <f>120422.8-53318.11</f>
        <v>67104.69</v>
      </c>
      <c r="AS13" s="1">
        <f>110494.93-53318.11</f>
        <v>57176.819999999992</v>
      </c>
      <c r="AT13" s="1">
        <f>102406.75-52731.61</f>
        <v>49675.14</v>
      </c>
      <c r="AU13" s="1">
        <f>56305.75-17474.25</f>
        <v>38831.5</v>
      </c>
      <c r="AV13" s="1">
        <f>29627.71-1697.38</f>
        <v>27930.329999999998</v>
      </c>
      <c r="AW13" s="1">
        <f>19782.49-632.98</f>
        <v>19149.510000000002</v>
      </c>
      <c r="AX13" s="1">
        <f>9721.86-132.98</f>
        <v>9588.880000000001</v>
      </c>
    </row>
    <row r="14" spans="1:55">
      <c r="C14" t="s">
        <v>32</v>
      </c>
      <c r="D14" s="14">
        <f>+(158897-34415)/12*12</f>
        <v>124482</v>
      </c>
      <c r="E14" s="14">
        <f>+(158897-34415)/12*11</f>
        <v>114108.5</v>
      </c>
      <c r="F14" s="14">
        <f>+(158897-34415)/12*10</f>
        <v>103735</v>
      </c>
      <c r="G14" s="14">
        <f>+(158897-34415)/12*9</f>
        <v>93361.5</v>
      </c>
      <c r="H14" s="14">
        <f>+(158897-34415)/12*8</f>
        <v>82988</v>
      </c>
      <c r="I14" s="14">
        <f>+(158897-34415)/12*7</f>
        <v>72614.5</v>
      </c>
      <c r="J14" s="14">
        <f>+(158897-34415)/12*6</f>
        <v>62241</v>
      </c>
      <c r="K14" s="14">
        <f>+(158897-34415)/12*5</f>
        <v>51867.5</v>
      </c>
      <c r="L14" s="14">
        <f>+(158897-34415)/12*4</f>
        <v>41494</v>
      </c>
      <c r="M14" s="14">
        <f>+(158897-34415)/12*3</f>
        <v>31120.5</v>
      </c>
      <c r="N14" s="14">
        <f>+(158897-34415)/12*2</f>
        <v>20747</v>
      </c>
      <c r="O14" s="14">
        <f>+(158897-34415)/12</f>
        <v>10373.5</v>
      </c>
      <c r="P14" s="1">
        <f>+(169577-41565)/12*12</f>
        <v>128012</v>
      </c>
      <c r="Q14" s="1">
        <f>+(169577-41565)/12*11</f>
        <v>117344.33333333333</v>
      </c>
      <c r="R14" s="1">
        <f>+(169577-41565)/12*10</f>
        <v>106676.66666666666</v>
      </c>
      <c r="S14" s="1">
        <f>+(169577-41565)/12*9</f>
        <v>96009</v>
      </c>
      <c r="T14" s="1">
        <f>+(169577-41565)/12*8</f>
        <v>85341.333333333328</v>
      </c>
      <c r="U14" s="1">
        <f>+(169577-41565)/12*7</f>
        <v>74673.666666666657</v>
      </c>
      <c r="V14" s="1">
        <f>+(169577-41565)/12*6</f>
        <v>64006</v>
      </c>
      <c r="W14" s="1">
        <f>+(169577-41565)/12*5</f>
        <v>53338.333333333328</v>
      </c>
      <c r="X14" s="1">
        <f>+(169577-41565)/12*4</f>
        <v>42670.666666666664</v>
      </c>
      <c r="Y14" s="1">
        <f>+(169577-41565)/12*3</f>
        <v>32003</v>
      </c>
      <c r="Z14" s="1">
        <f>+(169577-41565)/12*2</f>
        <v>21335.333333333332</v>
      </c>
      <c r="AA14" s="1">
        <f>+(169577-41565)/12</f>
        <v>10667.666666666666</v>
      </c>
      <c r="AB14" s="1">
        <f>+(171526-40275)/12*11</f>
        <v>120313.41666666667</v>
      </c>
      <c r="AC14" s="1">
        <f>+(171526-40275)/12*10</f>
        <v>109375.83333333334</v>
      </c>
      <c r="AD14" s="1">
        <f>+(171526-40275)/12*9</f>
        <v>98438.25</v>
      </c>
      <c r="AE14" s="1">
        <f>+(171526-40275)/12*8</f>
        <v>87500.666666666672</v>
      </c>
      <c r="AF14" s="1">
        <f>+(171526-40275)/12*7</f>
        <v>76563.083333333343</v>
      </c>
      <c r="AG14" s="1">
        <f>+(171526-40275)/12*6</f>
        <v>65625.5</v>
      </c>
      <c r="AH14" s="1">
        <f>+(171526-40275)/12*5</f>
        <v>54687.916666666672</v>
      </c>
      <c r="AI14" s="1">
        <f>+(171526-40275)/12*4</f>
        <v>43750.333333333336</v>
      </c>
      <c r="AJ14" s="1">
        <f>+(171526-40275)/12*3</f>
        <v>32812.75</v>
      </c>
      <c r="AK14" s="1">
        <f>+(171526-40275)/12*2</f>
        <v>21875.166666666668</v>
      </c>
      <c r="AL14" s="1">
        <f>+(171526-40275)/12</f>
        <v>10937.583333333334</v>
      </c>
      <c r="AM14" s="1">
        <f>131660/12*12</f>
        <v>131660</v>
      </c>
      <c r="AN14" s="1">
        <f>131660/12*11</f>
        <v>120688.33333333333</v>
      </c>
      <c r="AO14" s="1">
        <f>131660/12*10</f>
        <v>109716.66666666666</v>
      </c>
      <c r="AP14" s="1">
        <f>131660/12*9</f>
        <v>98745</v>
      </c>
      <c r="AQ14" s="1">
        <f>131660/12*8</f>
        <v>87773.333333333328</v>
      </c>
      <c r="AR14" s="1">
        <f>131660/12*7</f>
        <v>76801.666666666657</v>
      </c>
      <c r="AS14" s="1">
        <f>131660/12*6</f>
        <v>65830</v>
      </c>
      <c r="AT14" s="1">
        <f>131660/12*5</f>
        <v>54858.333333333328</v>
      </c>
      <c r="AU14" s="1">
        <f>131660/12*4</f>
        <v>43886.666666666664</v>
      </c>
      <c r="AV14" s="1">
        <f>131660/12*3</f>
        <v>32915</v>
      </c>
      <c r="AW14" s="1">
        <f>131660/12*2</f>
        <v>21943.333333333332</v>
      </c>
      <c r="AX14" s="1">
        <f>131660/12</f>
        <v>10971.666666666666</v>
      </c>
    </row>
    <row r="15" spans="1:55">
      <c r="C15" t="s">
        <v>33</v>
      </c>
      <c r="D15" s="7">
        <f t="shared" ref="D15" si="24">+D14-D13</f>
        <v>13170.350000000006</v>
      </c>
      <c r="E15" s="7">
        <f t="shared" ref="E15:F15" si="25">+E14-E13</f>
        <v>12681.62999999999</v>
      </c>
      <c r="F15" s="7">
        <f t="shared" si="25"/>
        <v>10894.25</v>
      </c>
      <c r="G15" s="7">
        <f t="shared" ref="G15" si="26">+G14-G13</f>
        <v>10468.25</v>
      </c>
      <c r="H15" s="7">
        <f t="shared" ref="H15" si="27">+H14-H13</f>
        <v>9897</v>
      </c>
      <c r="I15" s="7">
        <f t="shared" ref="I15:J15" si="28">+I14-I13</f>
        <v>7945</v>
      </c>
      <c r="J15" s="7">
        <f t="shared" si="28"/>
        <v>8762.9799999999959</v>
      </c>
      <c r="K15" s="7">
        <f t="shared" ref="K15:L15" si="29">+K14-K13</f>
        <v>6089.6100000000006</v>
      </c>
      <c r="L15" s="7">
        <f t="shared" si="29"/>
        <v>4447.4500000000044</v>
      </c>
      <c r="M15" s="7">
        <f t="shared" ref="M15:N15" si="30">+M14-M13</f>
        <v>5308.1699999999983</v>
      </c>
      <c r="N15" s="7">
        <f t="shared" si="30"/>
        <v>2776.8600000000006</v>
      </c>
      <c r="O15" s="7">
        <f t="shared" ref="O15:AX15" si="31">+O14-O13</f>
        <v>230.15999999999985</v>
      </c>
      <c r="P15" s="7">
        <f t="shared" si="31"/>
        <v>12471.600000000006</v>
      </c>
      <c r="Q15" s="7">
        <f t="shared" si="31"/>
        <v>12685.283333333326</v>
      </c>
      <c r="R15" s="7">
        <f t="shared" si="31"/>
        <v>10799.556666666656</v>
      </c>
      <c r="S15" s="7">
        <f t="shared" si="31"/>
        <v>9478.320000000007</v>
      </c>
      <c r="T15" s="7">
        <f t="shared" si="31"/>
        <v>7005.993333333332</v>
      </c>
      <c r="U15" s="7">
        <f t="shared" si="31"/>
        <v>4702.9066666666622</v>
      </c>
      <c r="V15" s="7">
        <f t="shared" si="31"/>
        <v>4895.6500000000015</v>
      </c>
      <c r="W15" s="7">
        <f t="shared" si="31"/>
        <v>4014.2633333333288</v>
      </c>
      <c r="X15" s="7">
        <f t="shared" si="31"/>
        <v>2603.5266666666648</v>
      </c>
      <c r="Y15" s="7">
        <f t="shared" si="31"/>
        <v>951.34000000000015</v>
      </c>
      <c r="Z15" s="7">
        <f t="shared" si="31"/>
        <v>-236.95666666666875</v>
      </c>
      <c r="AA15" s="7">
        <f t="shared" si="31"/>
        <v>-2834.623333333333</v>
      </c>
      <c r="AB15" s="7">
        <f t="shared" si="31"/>
        <v>16447.546666666676</v>
      </c>
      <c r="AC15" s="7">
        <f t="shared" si="31"/>
        <v>15053.423333333354</v>
      </c>
      <c r="AD15" s="7">
        <f t="shared" si="31"/>
        <v>12257.429999999993</v>
      </c>
      <c r="AE15" s="7">
        <f t="shared" si="31"/>
        <v>8906.506666666668</v>
      </c>
      <c r="AF15" s="7">
        <f t="shared" si="31"/>
        <v>12558.323333333348</v>
      </c>
      <c r="AG15" s="7">
        <f t="shared" si="31"/>
        <v>11053.489999999998</v>
      </c>
      <c r="AH15" s="7">
        <f t="shared" si="31"/>
        <v>7567.9566666666724</v>
      </c>
      <c r="AI15" s="7">
        <f t="shared" si="31"/>
        <v>4875.9433333333363</v>
      </c>
      <c r="AJ15" s="7">
        <f t="shared" si="31"/>
        <v>3945.84</v>
      </c>
      <c r="AK15" s="7">
        <f t="shared" si="31"/>
        <v>6757.7366666666676</v>
      </c>
      <c r="AL15" s="7">
        <f t="shared" si="31"/>
        <v>1408.8533333333326</v>
      </c>
      <c r="AM15" s="7">
        <f t="shared" si="31"/>
        <v>21466.300000000017</v>
      </c>
      <c r="AN15" s="7">
        <f t="shared" si="31"/>
        <v>20792.363333333327</v>
      </c>
      <c r="AO15" s="7">
        <f t="shared" si="31"/>
        <v>16897.84666666665</v>
      </c>
      <c r="AP15" s="7">
        <f t="shared" si="31"/>
        <v>14677.169999999998</v>
      </c>
      <c r="AQ15" s="7">
        <f t="shared" si="31"/>
        <v>12073.743333333332</v>
      </c>
      <c r="AR15" s="7">
        <f t="shared" si="31"/>
        <v>9696.9766666666546</v>
      </c>
      <c r="AS15" s="7">
        <f t="shared" si="31"/>
        <v>8653.1800000000076</v>
      </c>
      <c r="AT15" s="7">
        <f t="shared" si="31"/>
        <v>5183.1933333333291</v>
      </c>
      <c r="AU15" s="7">
        <f t="shared" si="31"/>
        <v>5055.1666666666642</v>
      </c>
      <c r="AV15" s="7">
        <f t="shared" si="31"/>
        <v>4984.6700000000019</v>
      </c>
      <c r="AW15" s="7">
        <f t="shared" si="31"/>
        <v>2793.8233333333301</v>
      </c>
      <c r="AX15" s="7">
        <f t="shared" si="31"/>
        <v>1382.786666666665</v>
      </c>
    </row>
    <row r="16" spans="1:55"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3:50" ht="15" thickBot="1">
      <c r="C17" t="s">
        <v>35</v>
      </c>
      <c r="D17" s="8">
        <f t="shared" ref="D17" si="32">+D15+D7+D11</f>
        <v>11684.929999999989</v>
      </c>
      <c r="E17" s="8">
        <f t="shared" ref="E17:F17" si="33">+E15+E7+E11</f>
        <v>11599.576363636354</v>
      </c>
      <c r="F17" s="8">
        <f t="shared" si="33"/>
        <v>10191.159999999989</v>
      </c>
      <c r="G17" s="8">
        <f t="shared" ref="G17" si="34">+G15+G7+G11</f>
        <v>8292.9833333333318</v>
      </c>
      <c r="H17" s="8">
        <f t="shared" ref="H17" si="35">+H15+H7+H11</f>
        <v>6203.359999999986</v>
      </c>
      <c r="I17" s="8">
        <f t="shared" ref="I17:J17" si="36">+I15+I7+I11</f>
        <v>4735.1799999999912</v>
      </c>
      <c r="J17" s="8">
        <f t="shared" si="36"/>
        <v>5633.7499999999891</v>
      </c>
      <c r="K17" s="8">
        <f t="shared" ref="K17:L17" si="37">+K15+K7+K11</f>
        <v>3507.9899999999975</v>
      </c>
      <c r="L17" s="8">
        <f t="shared" si="37"/>
        <v>750.90000000000146</v>
      </c>
      <c r="M17" s="8">
        <f t="shared" ref="M17:N17" si="38">+M15+M7+M11</f>
        <v>1411.2400000000021</v>
      </c>
      <c r="N17" s="8">
        <f t="shared" si="38"/>
        <v>-723.47000000000116</v>
      </c>
      <c r="O17" s="8">
        <f t="shared" ref="O17:AL17" si="39">+O15+O7+O11</f>
        <v>-2156.2199999999975</v>
      </c>
      <c r="P17" s="8">
        <f t="shared" si="39"/>
        <v>9155.6400000000103</v>
      </c>
      <c r="Q17" s="8">
        <f t="shared" si="39"/>
        <v>10807.483939393935</v>
      </c>
      <c r="R17" s="8">
        <f t="shared" si="39"/>
        <v>9791.9933333333211</v>
      </c>
      <c r="S17" s="8">
        <f t="shared" si="39"/>
        <v>9580.8800000000047</v>
      </c>
      <c r="T17" s="8">
        <f t="shared" si="39"/>
        <v>7095.1266666666634</v>
      </c>
      <c r="U17" s="8">
        <f t="shared" si="39"/>
        <v>5815.6233333333275</v>
      </c>
      <c r="V17" s="8">
        <f t="shared" si="39"/>
        <v>6407.7599999999984</v>
      </c>
      <c r="W17" s="8">
        <f t="shared" si="39"/>
        <v>4384.9066666666658</v>
      </c>
      <c r="X17" s="8">
        <f t="shared" si="39"/>
        <v>3660.0233333333254</v>
      </c>
      <c r="Y17" s="8">
        <f t="shared" si="39"/>
        <v>2602.6199999999953</v>
      </c>
      <c r="Z17" s="8">
        <f t="shared" si="39"/>
        <v>-1339.2033333333302</v>
      </c>
      <c r="AA17" s="8">
        <f t="shared" si="39"/>
        <v>-3836.1066666666679</v>
      </c>
      <c r="AB17" s="8">
        <f t="shared" si="39"/>
        <v>17322.449696969721</v>
      </c>
      <c r="AC17" s="8">
        <f t="shared" si="39"/>
        <v>12404.956666666694</v>
      </c>
      <c r="AD17" s="8">
        <f t="shared" si="39"/>
        <v>2144.44333333332</v>
      </c>
      <c r="AE17" s="8">
        <f t="shared" si="39"/>
        <v>125.85333333332892</v>
      </c>
      <c r="AF17" s="8">
        <f t="shared" si="39"/>
        <v>5340.4066666666804</v>
      </c>
      <c r="AG17" s="8">
        <f t="shared" si="39"/>
        <v>6002.229999999985</v>
      </c>
      <c r="AH17" s="8">
        <f t="shared" si="39"/>
        <v>3429.9533333333275</v>
      </c>
      <c r="AI17" s="8">
        <f t="shared" si="39"/>
        <v>2939.1866666666738</v>
      </c>
      <c r="AJ17" s="8">
        <f t="shared" si="39"/>
        <v>2303.2100000000132</v>
      </c>
      <c r="AK17" s="8">
        <f t="shared" si="39"/>
        <v>4287.1933333333427</v>
      </c>
      <c r="AL17" s="8">
        <f t="shared" si="39"/>
        <v>1576.6766666666713</v>
      </c>
      <c r="AM17" s="8">
        <f t="shared" ref="AM17:AX17" si="40">+AM15+AM7</f>
        <v>16823.390909090929</v>
      </c>
      <c r="AN17" s="8">
        <f t="shared" si="40"/>
        <v>16149.454242424239</v>
      </c>
      <c r="AO17" s="8">
        <f t="shared" si="40"/>
        <v>12160.246666666651</v>
      </c>
      <c r="AP17" s="8">
        <f t="shared" si="40"/>
        <v>9842.5033333333322</v>
      </c>
      <c r="AQ17" s="8">
        <f t="shared" si="40"/>
        <v>7159.743333333332</v>
      </c>
      <c r="AR17" s="8">
        <f t="shared" si="40"/>
        <v>4728.9766666666574</v>
      </c>
      <c r="AS17" s="8">
        <f t="shared" si="40"/>
        <v>3641.1800000000112</v>
      </c>
      <c r="AT17" s="8">
        <f t="shared" si="40"/>
        <v>176.79333333332761</v>
      </c>
      <c r="AU17" s="8">
        <f t="shared" si="40"/>
        <v>141.16666666666424</v>
      </c>
      <c r="AV17" s="8">
        <f t="shared" si="40"/>
        <v>-559.32999999999811</v>
      </c>
      <c r="AW17" s="8">
        <f t="shared" si="40"/>
        <v>-1658.1766666666699</v>
      </c>
      <c r="AX17" s="8">
        <f t="shared" si="40"/>
        <v>-2145.213333333335</v>
      </c>
    </row>
    <row r="18" spans="3:50" ht="15" thickTop="1"/>
    <row r="19" spans="3:50">
      <c r="C19" t="s">
        <v>37</v>
      </c>
      <c r="D19" s="14">
        <v>208084.34</v>
      </c>
      <c r="E19" s="14">
        <v>190910.57</v>
      </c>
      <c r="F19" s="14">
        <v>195109.54</v>
      </c>
      <c r="G19" s="14">
        <v>196661.4</v>
      </c>
      <c r="H19" s="14">
        <v>198062.31</v>
      </c>
      <c r="I19" s="14">
        <v>201360.67</v>
      </c>
      <c r="J19" s="14">
        <v>205295.41</v>
      </c>
      <c r="K19" s="14">
        <v>222436.86</v>
      </c>
      <c r="L19" s="14">
        <v>223214.74</v>
      </c>
      <c r="M19" s="14">
        <v>225441.26</v>
      </c>
      <c r="N19" s="14">
        <v>200070.68</v>
      </c>
      <c r="O19" s="14">
        <v>190292.37</v>
      </c>
      <c r="P19" s="13">
        <v>183451.03</v>
      </c>
      <c r="Q19" s="13">
        <v>165527.87</v>
      </c>
      <c r="R19" s="13">
        <v>169705.41</v>
      </c>
      <c r="S19" s="13">
        <v>171598.07</v>
      </c>
      <c r="T19" s="13">
        <v>171675.05</v>
      </c>
      <c r="U19" s="1">
        <v>174179.87</v>
      </c>
      <c r="V19" s="1">
        <v>196037.68</v>
      </c>
      <c r="W19" s="1">
        <v>201222.8</v>
      </c>
      <c r="X19" s="1">
        <v>199351.59</v>
      </c>
      <c r="Y19" s="1">
        <v>182578.38</v>
      </c>
      <c r="Z19" s="1">
        <v>172974.49</v>
      </c>
      <c r="AA19" s="1">
        <v>168857.21</v>
      </c>
      <c r="AB19" s="1">
        <v>138236.38</v>
      </c>
      <c r="AC19" s="1">
        <v>139914.1</v>
      </c>
      <c r="AD19" s="1">
        <v>136897.97</v>
      </c>
      <c r="AE19" s="1">
        <v>133154.15</v>
      </c>
      <c r="AF19" s="1">
        <v>141056.29</v>
      </c>
      <c r="AG19" s="1">
        <v>146472.87</v>
      </c>
      <c r="AH19" s="1">
        <v>171294.25</v>
      </c>
      <c r="AI19" s="1">
        <v>171543.28</v>
      </c>
      <c r="AJ19" s="1">
        <v>155924.75</v>
      </c>
      <c r="AK19" s="1">
        <v>154498.1</v>
      </c>
      <c r="AL19" s="1">
        <v>152371.14000000001</v>
      </c>
      <c r="AM19" s="1">
        <v>120388.32</v>
      </c>
      <c r="AN19" s="1">
        <v>99920.19</v>
      </c>
      <c r="AO19" s="1">
        <v>101238.88</v>
      </c>
      <c r="AP19" s="1">
        <v>105639.09</v>
      </c>
      <c r="AQ19" s="1">
        <v>108992.54</v>
      </c>
      <c r="AR19" s="1">
        <v>112437.44</v>
      </c>
      <c r="AS19" s="1">
        <v>113633.69</v>
      </c>
      <c r="AT19" s="1">
        <v>115805.19</v>
      </c>
      <c r="AU19" s="1">
        <v>157672.74</v>
      </c>
      <c r="AV19" s="1">
        <v>164947.21</v>
      </c>
      <c r="AW19" s="1">
        <v>154575.5</v>
      </c>
      <c r="AX19" s="1">
        <v>151253.48000000001</v>
      </c>
    </row>
    <row r="20" spans="3:50">
      <c r="C20" t="s">
        <v>39</v>
      </c>
      <c r="D20" s="14">
        <v>-49532.62</v>
      </c>
      <c r="E20" s="14">
        <v>-49532.62</v>
      </c>
      <c r="F20" s="14">
        <v>-49532.62</v>
      </c>
      <c r="G20" s="14">
        <v>-49532.62</v>
      </c>
      <c r="H20" s="14">
        <v>-49532.62</v>
      </c>
      <c r="I20" s="14">
        <v>-49532.62</v>
      </c>
      <c r="J20" s="14">
        <v>-49532.62</v>
      </c>
      <c r="K20" s="14">
        <v>-49532.62</v>
      </c>
      <c r="L20" s="14">
        <v>-49532.62</v>
      </c>
      <c r="M20" s="14">
        <v>-49532.62</v>
      </c>
      <c r="N20" s="14">
        <v>-49532.62</v>
      </c>
      <c r="O20" s="14">
        <v>-49532.62</v>
      </c>
      <c r="P20" s="14">
        <v>-50647.44</v>
      </c>
      <c r="Q20" s="14">
        <v>-48110.63</v>
      </c>
      <c r="R20" s="14">
        <v>-47041.58</v>
      </c>
      <c r="S20" s="14">
        <v>-47041.58</v>
      </c>
      <c r="T20" s="14">
        <v>-47041.58</v>
      </c>
      <c r="U20" s="1">
        <v>-47041.58</v>
      </c>
      <c r="V20" s="1">
        <v>-47041.58</v>
      </c>
      <c r="W20" s="1">
        <v>-47041.58</v>
      </c>
      <c r="X20" s="1">
        <v>-47041.58</v>
      </c>
      <c r="Y20" s="1">
        <v>-47041.58</v>
      </c>
      <c r="Z20" s="1">
        <v>-47041.58</v>
      </c>
      <c r="AA20" s="1">
        <v>-47041.58</v>
      </c>
      <c r="AB20" s="1">
        <v>-46210.35</v>
      </c>
      <c r="AC20" s="1">
        <v>-46210.35</v>
      </c>
      <c r="AD20" s="1">
        <v>-46210.35</v>
      </c>
      <c r="AE20" s="1">
        <v>-46210.35</v>
      </c>
      <c r="AF20" s="1">
        <v>-46210.35</v>
      </c>
      <c r="AG20" s="1">
        <v>-46210.35</v>
      </c>
      <c r="AH20" s="1">
        <v>-46210.35</v>
      </c>
      <c r="AI20" s="1">
        <v>-46210.35</v>
      </c>
      <c r="AJ20" s="1">
        <v>-46210.35</v>
      </c>
      <c r="AK20" s="1">
        <v>-46210.35</v>
      </c>
      <c r="AL20" s="1">
        <v>-46210.35</v>
      </c>
      <c r="AM20" s="1">
        <v>-47919.53</v>
      </c>
      <c r="AN20" s="1">
        <v>-47919.53</v>
      </c>
      <c r="AO20" s="1">
        <v>-47919.53</v>
      </c>
      <c r="AP20" s="1">
        <v>-47919.53</v>
      </c>
      <c r="AQ20" s="1">
        <v>-47919.53</v>
      </c>
      <c r="AR20" s="1">
        <v>-47919.53</v>
      </c>
      <c r="AS20" s="1">
        <v>-47919.53</v>
      </c>
      <c r="AT20" s="1">
        <v>-47919.53</v>
      </c>
      <c r="AU20" s="1">
        <v>-47919.53</v>
      </c>
      <c r="AV20" s="1">
        <v>-47919.53</v>
      </c>
      <c r="AW20" s="1">
        <v>-47919.53</v>
      </c>
      <c r="AX20" s="1">
        <v>-47919.53</v>
      </c>
    </row>
    <row r="21" spans="3:50">
      <c r="D21" s="2">
        <f t="shared" ref="D21" si="41">SUM(D19:D20)</f>
        <v>158551.72</v>
      </c>
      <c r="E21" s="2">
        <f t="shared" ref="E21:F21" si="42">SUM(E19:E20)</f>
        <v>141377.95000000001</v>
      </c>
      <c r="F21" s="2">
        <f t="shared" si="42"/>
        <v>145576.92000000001</v>
      </c>
      <c r="G21" s="2">
        <f t="shared" ref="G21" si="43">SUM(G19:G20)</f>
        <v>147128.78</v>
      </c>
      <c r="H21" s="2">
        <f t="shared" ref="H21" si="44">SUM(H19:H20)</f>
        <v>148529.69</v>
      </c>
      <c r="I21" s="2">
        <f t="shared" ref="I21:J21" si="45">SUM(I19:I20)</f>
        <v>151828.05000000002</v>
      </c>
      <c r="J21" s="2">
        <f t="shared" si="45"/>
        <v>155762.79</v>
      </c>
      <c r="K21" s="2">
        <f t="shared" ref="K21:L21" si="46">SUM(K19:K20)</f>
        <v>172904.24</v>
      </c>
      <c r="L21" s="2">
        <f t="shared" si="46"/>
        <v>173682.12</v>
      </c>
      <c r="M21" s="2">
        <f t="shared" ref="M21:N21" si="47">SUM(M19:M20)</f>
        <v>175908.64</v>
      </c>
      <c r="N21" s="2">
        <f t="shared" si="47"/>
        <v>150538.06</v>
      </c>
      <c r="O21" s="2">
        <f t="shared" ref="O21:Q21" si="48">SUM(O19:O20)</f>
        <v>140759.75</v>
      </c>
      <c r="P21" s="2">
        <f t="shared" si="48"/>
        <v>132803.59</v>
      </c>
      <c r="Q21" s="2">
        <f t="shared" si="48"/>
        <v>117417.23999999999</v>
      </c>
      <c r="R21" s="2">
        <f t="shared" ref="R21:AX21" si="49">SUM(R19:R20)</f>
        <v>122663.83</v>
      </c>
      <c r="S21" s="2">
        <f t="shared" si="49"/>
        <v>124556.49</v>
      </c>
      <c r="T21" s="2">
        <f t="shared" si="49"/>
        <v>124633.46999999999</v>
      </c>
      <c r="U21" s="2">
        <f t="shared" si="49"/>
        <v>127138.29</v>
      </c>
      <c r="V21" s="2">
        <f t="shared" si="49"/>
        <v>148996.09999999998</v>
      </c>
      <c r="W21" s="2">
        <f t="shared" si="49"/>
        <v>154181.21999999997</v>
      </c>
      <c r="X21" s="2">
        <f t="shared" si="49"/>
        <v>152310.01</v>
      </c>
      <c r="Y21" s="2">
        <f t="shared" si="49"/>
        <v>135536.79999999999</v>
      </c>
      <c r="Z21" s="2">
        <f t="shared" si="49"/>
        <v>125932.90999999999</v>
      </c>
      <c r="AA21" s="2">
        <f t="shared" si="49"/>
        <v>121815.62999999999</v>
      </c>
      <c r="AB21" s="2">
        <f t="shared" si="49"/>
        <v>92026.03</v>
      </c>
      <c r="AC21" s="2">
        <f t="shared" si="49"/>
        <v>93703.75</v>
      </c>
      <c r="AD21" s="2">
        <f t="shared" si="49"/>
        <v>90687.62</v>
      </c>
      <c r="AE21" s="2">
        <f t="shared" si="49"/>
        <v>86943.799999999988</v>
      </c>
      <c r="AF21" s="2">
        <f t="shared" si="49"/>
        <v>94845.94</v>
      </c>
      <c r="AG21" s="2">
        <f t="shared" si="49"/>
        <v>100262.51999999999</v>
      </c>
      <c r="AH21" s="2">
        <f t="shared" si="49"/>
        <v>125083.9</v>
      </c>
      <c r="AI21" s="2">
        <f t="shared" si="49"/>
        <v>125332.93</v>
      </c>
      <c r="AJ21" s="2">
        <f t="shared" si="49"/>
        <v>109714.4</v>
      </c>
      <c r="AK21" s="2">
        <f t="shared" si="49"/>
        <v>108287.75</v>
      </c>
      <c r="AL21" s="2">
        <f t="shared" si="49"/>
        <v>106160.79000000001</v>
      </c>
      <c r="AM21" s="2">
        <f t="shared" si="49"/>
        <v>72468.790000000008</v>
      </c>
      <c r="AN21" s="2">
        <f t="shared" si="49"/>
        <v>52000.66</v>
      </c>
      <c r="AO21" s="2">
        <f t="shared" si="49"/>
        <v>53319.350000000006</v>
      </c>
      <c r="AP21" s="2">
        <f t="shared" si="49"/>
        <v>57719.56</v>
      </c>
      <c r="AQ21" s="2">
        <f t="shared" si="49"/>
        <v>61073.009999999995</v>
      </c>
      <c r="AR21" s="2">
        <f t="shared" si="49"/>
        <v>64517.91</v>
      </c>
      <c r="AS21" s="2">
        <f t="shared" si="49"/>
        <v>65714.16</v>
      </c>
      <c r="AT21" s="2">
        <f t="shared" si="49"/>
        <v>67885.66</v>
      </c>
      <c r="AU21" s="2">
        <f t="shared" si="49"/>
        <v>109753.20999999999</v>
      </c>
      <c r="AV21" s="2">
        <f t="shared" si="49"/>
        <v>117027.68</v>
      </c>
      <c r="AW21" s="2">
        <f t="shared" si="49"/>
        <v>106655.97</v>
      </c>
      <c r="AX21" s="2">
        <f t="shared" si="49"/>
        <v>103333.95000000001</v>
      </c>
    </row>
    <row r="23" spans="3:50">
      <c r="C23" t="s">
        <v>41</v>
      </c>
      <c r="D23" s="13">
        <v>15327.16</v>
      </c>
      <c r="E23" s="13">
        <v>15327.16</v>
      </c>
      <c r="F23" s="13">
        <v>15327.16</v>
      </c>
      <c r="G23" s="13">
        <v>15327.16</v>
      </c>
      <c r="H23" s="13">
        <v>15327.16</v>
      </c>
      <c r="I23" s="13">
        <v>15327.16</v>
      </c>
      <c r="J23" s="13">
        <v>15327.16</v>
      </c>
      <c r="K23" s="13">
        <v>15327.16</v>
      </c>
      <c r="P23" s="6">
        <v>11273.89</v>
      </c>
      <c r="Q23" s="6">
        <v>11273.89</v>
      </c>
      <c r="R23" s="6">
        <v>11273.89</v>
      </c>
      <c r="S23" s="6">
        <v>11273.89</v>
      </c>
      <c r="T23" s="6">
        <v>11273.89</v>
      </c>
      <c r="U23" s="6">
        <v>11273.89</v>
      </c>
      <c r="V23" s="6"/>
      <c r="W23" s="6"/>
      <c r="X23" s="6"/>
      <c r="Y23" s="6"/>
      <c r="Z23" s="6"/>
      <c r="AA23" s="6"/>
      <c r="AB23" s="6">
        <v>12836.49</v>
      </c>
      <c r="AC23" s="6">
        <v>13124.2</v>
      </c>
      <c r="AD23" s="6">
        <v>13755</v>
      </c>
      <c r="AE23" s="6">
        <v>13755</v>
      </c>
      <c r="AF23" s="6">
        <v>13755</v>
      </c>
      <c r="AG23" s="6">
        <v>15375.21</v>
      </c>
      <c r="AH23" s="3" t="s">
        <v>42</v>
      </c>
      <c r="AI23" s="3" t="s">
        <v>42</v>
      </c>
      <c r="AJ23" s="3" t="s">
        <v>42</v>
      </c>
      <c r="AK23" s="3" t="s">
        <v>42</v>
      </c>
      <c r="AL23" s="3" t="s">
        <v>42</v>
      </c>
      <c r="AM23" s="6">
        <v>-17550.150000000001</v>
      </c>
      <c r="AN23" s="6">
        <v>-17550.150000000001</v>
      </c>
      <c r="AO23" s="6">
        <v>-17550.150000000001</v>
      </c>
      <c r="AP23" s="6">
        <v>-15778.35</v>
      </c>
      <c r="AQ23" s="6">
        <v>-15778.35</v>
      </c>
      <c r="AR23" s="6">
        <v>-15778.35</v>
      </c>
      <c r="AS23" s="6">
        <v>-15778.35</v>
      </c>
      <c r="AT23" s="6">
        <v>-15191.85</v>
      </c>
      <c r="AU23" s="3" t="s">
        <v>42</v>
      </c>
      <c r="AV23" s="3" t="s">
        <v>42</v>
      </c>
      <c r="AW23" s="3" t="s">
        <v>42</v>
      </c>
      <c r="AX23" s="3" t="s">
        <v>42</v>
      </c>
    </row>
    <row r="25" spans="3:50">
      <c r="AB25" s="9"/>
      <c r="AC25" s="9"/>
    </row>
    <row r="26" spans="3:50">
      <c r="U26" s="11"/>
      <c r="V26" s="11"/>
      <c r="W26" s="11"/>
      <c r="X26" s="11"/>
      <c r="Y26" s="11"/>
      <c r="Z26" s="11"/>
      <c r="AA26" s="11"/>
      <c r="AK26" s="1"/>
    </row>
    <row r="30" spans="3:50">
      <c r="AK30" s="9"/>
    </row>
  </sheetData>
  <mergeCells count="4">
    <mergeCell ref="AB1:AC1"/>
    <mergeCell ref="AM1:AO1"/>
    <mergeCell ref="P1:AA1"/>
    <mergeCell ref="D1:F1"/>
  </mergeCells>
  <pageMargins left="0.7" right="0.7" top="0.75" bottom="0.75" header="0.3" footer="0.3"/>
  <pageSetup scale="22" orientation="landscape" r:id="rId1"/>
  <ignoredErrors>
    <ignoredError sqref="M4:N4 L4 F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0"/>
  <sheetViews>
    <sheetView workbookViewId="0">
      <selection activeCell="AP20" sqref="AP20"/>
    </sheetView>
  </sheetViews>
  <sheetFormatPr defaultRowHeight="14.45"/>
  <cols>
    <col min="3" max="3" width="52.140625" customWidth="1"/>
    <col min="4" max="6" width="15.140625" customWidth="1"/>
    <col min="7" max="8" width="15.140625" hidden="1" customWidth="1"/>
    <col min="9" max="10" width="14.7109375" hidden="1" customWidth="1"/>
    <col min="11" max="11" width="16.28515625" hidden="1" customWidth="1"/>
    <col min="12" max="13" width="14.7109375" hidden="1" customWidth="1"/>
    <col min="14" max="15" width="17.7109375" hidden="1" customWidth="1"/>
    <col min="16" max="16" width="17.7109375" customWidth="1"/>
    <col min="17" max="18" width="15.7109375" customWidth="1"/>
    <col min="19" max="22" width="15.7109375" hidden="1" customWidth="1"/>
    <col min="23" max="23" width="14.85546875" hidden="1" customWidth="1"/>
    <col min="24" max="25" width="15.140625" hidden="1" customWidth="1"/>
    <col min="26" max="26" width="13.7109375" hidden="1" customWidth="1"/>
    <col min="27" max="27" width="10.85546875" hidden="1" customWidth="1"/>
    <col min="28" max="29" width="14.7109375" hidden="1" customWidth="1"/>
    <col min="30" max="30" width="12" hidden="1" customWidth="1"/>
    <col min="31" max="35" width="13.5703125" hidden="1" customWidth="1"/>
    <col min="36" max="36" width="14.28515625" hidden="1" customWidth="1"/>
    <col min="37" max="39" width="11.140625" hidden="1" customWidth="1"/>
  </cols>
  <sheetData>
    <row r="1" spans="1:39" ht="15" thickBot="1">
      <c r="A1" t="s">
        <v>1</v>
      </c>
      <c r="D1" s="17"/>
      <c r="E1" s="17">
        <v>2017</v>
      </c>
      <c r="F1" s="17"/>
      <c r="G1" s="17"/>
      <c r="H1" s="10"/>
      <c r="I1" s="12"/>
      <c r="J1" s="10"/>
      <c r="K1" s="12"/>
      <c r="L1" s="28"/>
      <c r="M1" s="29"/>
      <c r="N1" s="29"/>
      <c r="O1" s="29"/>
      <c r="P1" s="31">
        <v>2016</v>
      </c>
      <c r="Q1" s="32"/>
      <c r="R1" s="32"/>
      <c r="S1" s="12"/>
      <c r="T1" s="12"/>
      <c r="U1" s="12"/>
      <c r="V1" s="12"/>
      <c r="W1" s="12"/>
      <c r="X1" s="28"/>
      <c r="Y1" s="29"/>
      <c r="Z1" s="29"/>
      <c r="AA1" s="29"/>
      <c r="AB1" s="31">
        <v>2015</v>
      </c>
      <c r="AC1" s="32"/>
      <c r="AD1" s="33"/>
      <c r="AE1" s="28"/>
      <c r="AF1" s="10"/>
      <c r="AG1" s="29"/>
      <c r="AH1" s="29"/>
      <c r="AI1" s="28"/>
      <c r="AJ1" s="28"/>
      <c r="AK1" s="28"/>
      <c r="AL1" s="28"/>
      <c r="AM1" s="29"/>
    </row>
    <row r="2" spans="1:39"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</v>
      </c>
      <c r="N2" s="4" t="s">
        <v>3</v>
      </c>
      <c r="O2" s="4" t="s">
        <v>4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  <c r="W2" s="4" t="s">
        <v>12</v>
      </c>
      <c r="X2" s="4" t="s">
        <v>13</v>
      </c>
      <c r="Y2" s="4" t="s">
        <v>2</v>
      </c>
      <c r="Z2" s="4" t="s">
        <v>3</v>
      </c>
      <c r="AA2" s="4" t="s">
        <v>4</v>
      </c>
      <c r="AB2" s="4" t="s">
        <v>5</v>
      </c>
      <c r="AC2" s="4" t="s">
        <v>6</v>
      </c>
      <c r="AD2" s="4" t="s">
        <v>7</v>
      </c>
      <c r="AE2" s="4" t="s">
        <v>8</v>
      </c>
      <c r="AF2" s="4" t="s">
        <v>9</v>
      </c>
      <c r="AG2" s="4" t="s">
        <v>10</v>
      </c>
      <c r="AH2" s="4" t="s">
        <v>11</v>
      </c>
      <c r="AI2" s="4" t="s">
        <v>12</v>
      </c>
      <c r="AJ2" s="4" t="s">
        <v>13</v>
      </c>
      <c r="AK2" s="4" t="s">
        <v>2</v>
      </c>
      <c r="AL2" s="4" t="s">
        <v>3</v>
      </c>
      <c r="AM2" s="4" t="s">
        <v>4</v>
      </c>
    </row>
    <row r="3" spans="1:39">
      <c r="C3" t="s">
        <v>46</v>
      </c>
      <c r="D3">
        <v>418</v>
      </c>
      <c r="E3">
        <v>417</v>
      </c>
      <c r="F3">
        <v>421</v>
      </c>
      <c r="G3">
        <f>412+14</f>
        <v>426</v>
      </c>
      <c r="H3">
        <v>417</v>
      </c>
      <c r="I3">
        <v>424</v>
      </c>
      <c r="J3">
        <v>424</v>
      </c>
      <c r="K3">
        <v>420</v>
      </c>
      <c r="L3">
        <v>420</v>
      </c>
      <c r="M3">
        <v>423</v>
      </c>
      <c r="N3">
        <f>404+13</f>
        <v>417</v>
      </c>
      <c r="O3">
        <v>421</v>
      </c>
      <c r="P3">
        <f>436+13</f>
        <v>449</v>
      </c>
      <c r="Q3">
        <v>451</v>
      </c>
      <c r="R3">
        <f>433+13</f>
        <v>446</v>
      </c>
      <c r="S3">
        <f>428+13</f>
        <v>441</v>
      </c>
      <c r="T3">
        <v>439</v>
      </c>
      <c r="U3">
        <v>431</v>
      </c>
      <c r="V3">
        <v>440</v>
      </c>
      <c r="W3">
        <v>445</v>
      </c>
      <c r="X3">
        <v>441</v>
      </c>
      <c r="Y3">
        <v>444</v>
      </c>
      <c r="Z3">
        <v>441</v>
      </c>
      <c r="AA3">
        <v>449</v>
      </c>
      <c r="AB3">
        <v>440</v>
      </c>
      <c r="AC3">
        <v>438</v>
      </c>
      <c r="AD3">
        <v>437</v>
      </c>
      <c r="AE3">
        <v>435</v>
      </c>
      <c r="AF3">
        <v>433</v>
      </c>
      <c r="AG3">
        <v>432</v>
      </c>
      <c r="AH3">
        <v>430</v>
      </c>
      <c r="AI3">
        <v>428</v>
      </c>
      <c r="AJ3">
        <v>430</v>
      </c>
      <c r="AK3">
        <v>426</v>
      </c>
      <c r="AL3">
        <v>428</v>
      </c>
      <c r="AM3">
        <v>439</v>
      </c>
    </row>
    <row r="4" spans="1:39">
      <c r="C4" t="s">
        <v>17</v>
      </c>
      <c r="D4" s="5">
        <f>AVERAGE(D3:O3)</f>
        <v>420.66666666666669</v>
      </c>
      <c r="E4" s="5">
        <f>AVERAGE(E3:O3)</f>
        <v>420.90909090909093</v>
      </c>
      <c r="F4" s="5">
        <f>AVERAGE(F3:O3)</f>
        <v>421.3</v>
      </c>
      <c r="G4" s="5">
        <f>AVERAGE(G3:O3)</f>
        <v>421.33333333333331</v>
      </c>
      <c r="H4" s="5">
        <f>AVERAGE(H3:O3)</f>
        <v>420.75</v>
      </c>
      <c r="I4" s="5">
        <f>AVERAGE(I3:O3)</f>
        <v>421.28571428571428</v>
      </c>
      <c r="J4" s="5">
        <f>AVERAGE(J3:O3)</f>
        <v>420.83333333333331</v>
      </c>
      <c r="K4" s="5">
        <f>AVERAGE(K3:O3)</f>
        <v>420.2</v>
      </c>
      <c r="L4" s="5">
        <f>AVERAGE(L3:O3)</f>
        <v>420.25</v>
      </c>
      <c r="M4" s="5">
        <f>AVERAGE(M3:O3)</f>
        <v>420.33333333333331</v>
      </c>
      <c r="N4" s="5">
        <f>AVERAGE(N3:O3)</f>
        <v>419</v>
      </c>
      <c r="O4" s="5">
        <f>AVERAGE(O3:O3)</f>
        <v>421</v>
      </c>
      <c r="P4" s="5">
        <f>AVERAGE(P3:AA3)</f>
        <v>443.08333333333331</v>
      </c>
      <c r="Q4" s="5">
        <f>AVERAGE(Q3:AA3)</f>
        <v>442.54545454545456</v>
      </c>
      <c r="R4" s="5">
        <f>AVERAGE(R3:AA3)</f>
        <v>441.7</v>
      </c>
      <c r="S4" s="5">
        <f>AVERAGE(S3:AA3)</f>
        <v>441.22222222222223</v>
      </c>
      <c r="T4" s="5">
        <f>AVERAGE(T3:AA3)</f>
        <v>441.25</v>
      </c>
      <c r="U4" s="5">
        <f>AVERAGE(U3:AA3)</f>
        <v>441.57142857142856</v>
      </c>
      <c r="V4" s="5">
        <f>AVERAGE(V3:AA3)</f>
        <v>443.33333333333331</v>
      </c>
      <c r="W4" s="5">
        <f>AVERAGE(W3:AA3)</f>
        <v>444</v>
      </c>
      <c r="X4" s="5">
        <f>AVERAGE(X3:AA3)</f>
        <v>443.75</v>
      </c>
      <c r="Y4" s="5">
        <f>AVERAGE(Y3:AA3)</f>
        <v>444.66666666666669</v>
      </c>
      <c r="Z4" s="5">
        <f>AVERAGE(Z3:AA3)</f>
        <v>445</v>
      </c>
      <c r="AA4" s="5">
        <f>+AA3</f>
        <v>449</v>
      </c>
      <c r="AB4" s="5">
        <f>AVERAGE(AC3:AM3)</f>
        <v>432.36363636363637</v>
      </c>
      <c r="AC4" s="5">
        <f>AVERAGE(AC3:AM3)</f>
        <v>432.36363636363637</v>
      </c>
      <c r="AD4" s="5">
        <f>AVERAGE(AD3:AM3)</f>
        <v>431.8</v>
      </c>
      <c r="AE4" s="5">
        <f>AVERAGE(AE3:AM3)</f>
        <v>431.22222222222223</v>
      </c>
      <c r="AF4" s="5">
        <f>AVERAGE(AF3:AM3)</f>
        <v>430.75</v>
      </c>
      <c r="AG4" s="5">
        <f>AVERAGE(AG3:AM3)</f>
        <v>430.42857142857144</v>
      </c>
      <c r="AH4" s="5">
        <f>AVERAGE(AH3:AM3)</f>
        <v>430.16666666666669</v>
      </c>
      <c r="AI4" s="5">
        <f>AVERAGE(AI3:AM3)</f>
        <v>430.2</v>
      </c>
      <c r="AJ4" s="5">
        <f>AVERAGE(AJ3:AM3)</f>
        <v>430.75</v>
      </c>
      <c r="AK4" s="5">
        <f>AVERAGE(AK3:AL3)</f>
        <v>427</v>
      </c>
      <c r="AL4" s="5">
        <f>AVERAGE(AL3:AM3)</f>
        <v>433.5</v>
      </c>
      <c r="AM4">
        <f>+AM3</f>
        <v>439</v>
      </c>
    </row>
    <row r="5" spans="1:39">
      <c r="C5" t="s">
        <v>19</v>
      </c>
      <c r="D5">
        <v>445</v>
      </c>
      <c r="E5">
        <v>445</v>
      </c>
      <c r="F5">
        <v>445</v>
      </c>
      <c r="G5">
        <v>445</v>
      </c>
      <c r="H5">
        <v>445</v>
      </c>
      <c r="I5">
        <v>445</v>
      </c>
      <c r="J5">
        <v>445</v>
      </c>
      <c r="K5">
        <v>445</v>
      </c>
      <c r="L5">
        <v>445</v>
      </c>
      <c r="M5">
        <v>445</v>
      </c>
      <c r="N5">
        <v>445</v>
      </c>
      <c r="O5">
        <v>445</v>
      </c>
      <c r="P5">
        <v>461</v>
      </c>
      <c r="Q5">
        <v>461</v>
      </c>
      <c r="R5">
        <v>461</v>
      </c>
      <c r="S5">
        <v>461</v>
      </c>
      <c r="T5">
        <v>461</v>
      </c>
      <c r="U5">
        <v>461</v>
      </c>
      <c r="V5">
        <v>461</v>
      </c>
      <c r="W5">
        <v>461</v>
      </c>
      <c r="X5">
        <v>461</v>
      </c>
      <c r="Y5">
        <v>461</v>
      </c>
      <c r="Z5">
        <v>461</v>
      </c>
      <c r="AA5">
        <v>461</v>
      </c>
      <c r="AB5">
        <v>460</v>
      </c>
      <c r="AC5">
        <v>460</v>
      </c>
      <c r="AD5">
        <v>460</v>
      </c>
      <c r="AE5">
        <v>460</v>
      </c>
      <c r="AF5">
        <v>460</v>
      </c>
      <c r="AG5">
        <v>460</v>
      </c>
      <c r="AH5">
        <v>460</v>
      </c>
      <c r="AI5">
        <v>460</v>
      </c>
      <c r="AJ5">
        <v>460</v>
      </c>
      <c r="AK5">
        <v>460</v>
      </c>
      <c r="AL5">
        <v>460</v>
      </c>
      <c r="AM5">
        <v>460</v>
      </c>
    </row>
    <row r="6" spans="1:39">
      <c r="C6" t="s">
        <v>21</v>
      </c>
      <c r="D6" s="5">
        <f t="shared" ref="D6:E6" si="0">+D4-D5</f>
        <v>-24.333333333333314</v>
      </c>
      <c r="E6" s="5">
        <f t="shared" si="0"/>
        <v>-24.090909090909065</v>
      </c>
      <c r="F6" s="5">
        <f t="shared" ref="F6:G6" si="1">+F4-F5</f>
        <v>-23.699999999999989</v>
      </c>
      <c r="G6" s="5">
        <f t="shared" si="1"/>
        <v>-23.666666666666686</v>
      </c>
      <c r="H6" s="5">
        <f t="shared" ref="H6:K6" si="2">+H4-H5</f>
        <v>-24.25</v>
      </c>
      <c r="I6" s="5">
        <f t="shared" ref="I6" si="3">+I4-I5</f>
        <v>-23.714285714285722</v>
      </c>
      <c r="J6" s="5">
        <f t="shared" si="2"/>
        <v>-24.166666666666686</v>
      </c>
      <c r="K6" s="5">
        <f t="shared" si="2"/>
        <v>-24.800000000000011</v>
      </c>
      <c r="L6" s="5">
        <f t="shared" ref="L6:M6" si="4">+L4-L5</f>
        <v>-24.75</v>
      </c>
      <c r="M6" s="5">
        <f t="shared" si="4"/>
        <v>-24.666666666666686</v>
      </c>
      <c r="N6" s="5">
        <f t="shared" ref="N6:O6" si="5">+N4-N5</f>
        <v>-26</v>
      </c>
      <c r="O6" s="5">
        <f t="shared" si="5"/>
        <v>-24</v>
      </c>
      <c r="P6" s="5">
        <f t="shared" ref="P6:AM6" si="6">+P4-P5</f>
        <v>-17.916666666666686</v>
      </c>
      <c r="Q6" s="5">
        <f t="shared" si="6"/>
        <v>-18.454545454545439</v>
      </c>
      <c r="R6" s="5">
        <f t="shared" si="6"/>
        <v>-19.300000000000011</v>
      </c>
      <c r="S6" s="5">
        <f t="shared" si="6"/>
        <v>-19.777777777777771</v>
      </c>
      <c r="T6" s="5">
        <f t="shared" si="6"/>
        <v>-19.75</v>
      </c>
      <c r="U6" s="5">
        <f t="shared" si="6"/>
        <v>-19.428571428571445</v>
      </c>
      <c r="V6" s="5">
        <f t="shared" si="6"/>
        <v>-17.666666666666686</v>
      </c>
      <c r="W6" s="5">
        <f t="shared" si="6"/>
        <v>-17</v>
      </c>
      <c r="X6" s="5">
        <f t="shared" si="6"/>
        <v>-17.25</v>
      </c>
      <c r="Y6" s="5">
        <f t="shared" si="6"/>
        <v>-16.333333333333314</v>
      </c>
      <c r="Z6" s="5">
        <f t="shared" si="6"/>
        <v>-16</v>
      </c>
      <c r="AA6" s="5">
        <f t="shared" si="6"/>
        <v>-12</v>
      </c>
      <c r="AB6" s="5">
        <f t="shared" si="6"/>
        <v>-27.636363636363626</v>
      </c>
      <c r="AC6" s="5">
        <f t="shared" si="6"/>
        <v>-27.636363636363626</v>
      </c>
      <c r="AD6" s="5">
        <f t="shared" si="6"/>
        <v>-28.199999999999989</v>
      </c>
      <c r="AE6" s="5">
        <f t="shared" si="6"/>
        <v>-28.777777777777771</v>
      </c>
      <c r="AF6" s="5">
        <f t="shared" si="6"/>
        <v>-29.25</v>
      </c>
      <c r="AG6" s="5">
        <f t="shared" si="6"/>
        <v>-29.571428571428555</v>
      </c>
      <c r="AH6" s="5">
        <f t="shared" si="6"/>
        <v>-29.833333333333314</v>
      </c>
      <c r="AI6" s="5">
        <f t="shared" si="6"/>
        <v>-29.800000000000011</v>
      </c>
      <c r="AJ6" s="5">
        <f t="shared" si="6"/>
        <v>-29.25</v>
      </c>
      <c r="AK6" s="5">
        <f t="shared" si="6"/>
        <v>-33</v>
      </c>
      <c r="AL6" s="5">
        <f t="shared" si="6"/>
        <v>-26.5</v>
      </c>
      <c r="AM6" s="5">
        <f t="shared" si="6"/>
        <v>-21</v>
      </c>
    </row>
    <row r="7" spans="1:39">
      <c r="C7" t="s">
        <v>23</v>
      </c>
      <c r="D7" s="7">
        <f t="shared" ref="D7:E7" si="7">+D6*168</f>
        <v>-4087.9999999999968</v>
      </c>
      <c r="E7" s="7">
        <f t="shared" si="7"/>
        <v>-4047.2727272727229</v>
      </c>
      <c r="F7" s="7">
        <f t="shared" ref="F7:G7" si="8">+F6*168</f>
        <v>-3981.5999999999981</v>
      </c>
      <c r="G7" s="7">
        <f t="shared" si="8"/>
        <v>-3976.0000000000032</v>
      </c>
      <c r="H7" s="7">
        <f t="shared" ref="H7:K7" si="9">+H6*168</f>
        <v>-4074</v>
      </c>
      <c r="I7" s="7">
        <f t="shared" ref="I7" si="10">+I6*168</f>
        <v>-3984.0000000000014</v>
      </c>
      <c r="J7" s="7">
        <f t="shared" si="9"/>
        <v>-4060.0000000000032</v>
      </c>
      <c r="K7" s="7">
        <f t="shared" si="9"/>
        <v>-4166.4000000000015</v>
      </c>
      <c r="L7" s="7">
        <f t="shared" ref="L7:M7" si="11">+L6*168</f>
        <v>-4158</v>
      </c>
      <c r="M7" s="7">
        <f t="shared" si="11"/>
        <v>-4144.0000000000036</v>
      </c>
      <c r="N7" s="7">
        <f t="shared" ref="N7:O7" si="12">+N6*168</f>
        <v>-4368</v>
      </c>
      <c r="O7" s="7">
        <f t="shared" si="12"/>
        <v>-4032</v>
      </c>
      <c r="P7" s="7">
        <f t="shared" ref="P7:AM7" si="13">+P6*168</f>
        <v>-3010.0000000000032</v>
      </c>
      <c r="Q7" s="7">
        <f t="shared" si="13"/>
        <v>-3100.3636363636338</v>
      </c>
      <c r="R7" s="7">
        <f t="shared" si="13"/>
        <v>-3242.4000000000019</v>
      </c>
      <c r="S7" s="7">
        <f t="shared" si="13"/>
        <v>-3322.6666666666656</v>
      </c>
      <c r="T7" s="7">
        <f t="shared" si="13"/>
        <v>-3318</v>
      </c>
      <c r="U7" s="7">
        <f t="shared" si="13"/>
        <v>-3264.0000000000027</v>
      </c>
      <c r="V7" s="7">
        <f t="shared" si="13"/>
        <v>-2968.0000000000032</v>
      </c>
      <c r="W7" s="7">
        <f t="shared" si="13"/>
        <v>-2856</v>
      </c>
      <c r="X7" s="7">
        <f t="shared" si="13"/>
        <v>-2898</v>
      </c>
      <c r="Y7" s="7">
        <f t="shared" si="13"/>
        <v>-2743.9999999999968</v>
      </c>
      <c r="Z7" s="7">
        <f t="shared" si="13"/>
        <v>-2688</v>
      </c>
      <c r="AA7" s="7">
        <f t="shared" si="13"/>
        <v>-2016</v>
      </c>
      <c r="AB7" s="7">
        <f t="shared" si="13"/>
        <v>-4642.9090909090892</v>
      </c>
      <c r="AC7" s="7">
        <f t="shared" si="13"/>
        <v>-4642.9090909090892</v>
      </c>
      <c r="AD7" s="7">
        <f t="shared" si="13"/>
        <v>-4737.5999999999985</v>
      </c>
      <c r="AE7" s="7">
        <f t="shared" si="13"/>
        <v>-4834.6666666666661</v>
      </c>
      <c r="AF7" s="7">
        <f t="shared" si="13"/>
        <v>-4914</v>
      </c>
      <c r="AG7" s="7">
        <f t="shared" si="13"/>
        <v>-4967.9999999999973</v>
      </c>
      <c r="AH7" s="7">
        <f t="shared" si="13"/>
        <v>-5011.9999999999964</v>
      </c>
      <c r="AI7" s="7">
        <f t="shared" si="13"/>
        <v>-5006.4000000000015</v>
      </c>
      <c r="AJ7" s="7">
        <f t="shared" si="13"/>
        <v>-4914</v>
      </c>
      <c r="AK7" s="7">
        <f t="shared" si="13"/>
        <v>-5544</v>
      </c>
      <c r="AL7" s="7">
        <f t="shared" si="13"/>
        <v>-4452</v>
      </c>
      <c r="AM7" s="7">
        <f t="shared" si="13"/>
        <v>-3528</v>
      </c>
    </row>
    <row r="9" spans="1:39">
      <c r="C9" t="s">
        <v>47</v>
      </c>
      <c r="D9" s="16">
        <v>31472.04</v>
      </c>
      <c r="E9" s="16">
        <v>30311.14</v>
      </c>
      <c r="F9" s="16">
        <v>28557.37</v>
      </c>
      <c r="G9" s="16">
        <v>27103.56</v>
      </c>
      <c r="H9" s="16">
        <v>24629.8</v>
      </c>
      <c r="I9" s="1">
        <f>152288.03-70003.48-19432.5-39847</f>
        <v>23005.050000000003</v>
      </c>
      <c r="J9" s="1">
        <f>147875.59-39847-68561.48-18545</f>
        <v>20922.11</v>
      </c>
      <c r="K9" s="1">
        <f>137852.19-67063.48-17420-36040</f>
        <v>17328.710000000006</v>
      </c>
      <c r="L9" s="1">
        <f>127375.56-29573-65297.23-17057.5</f>
        <v>15447.829999999994</v>
      </c>
      <c r="M9" s="1">
        <f>100592.34-62570.56-16307.5-8244</f>
        <v>13470.279999999999</v>
      </c>
      <c r="N9" s="1">
        <f>80791.57-56664.15-15745</f>
        <v>8382.4200000000055</v>
      </c>
      <c r="O9" s="1">
        <f>70654.5-14395-50670.65</f>
        <v>5588.8499999999985</v>
      </c>
      <c r="P9" s="1">
        <f>189615.06-50742-73793.84-21200</f>
        <v>43879.22</v>
      </c>
      <c r="Q9" s="1">
        <f>186541.69-50742-73758.84-21200</f>
        <v>40840.850000000006</v>
      </c>
      <c r="R9" s="1">
        <f>179593.44-50742-73555.84-21187.5</f>
        <v>34108.100000000006</v>
      </c>
      <c r="S9" s="1">
        <f>168214.77-73037.84-21062.5-50742</f>
        <v>23372.429999999993</v>
      </c>
      <c r="T9" s="1">
        <f>165275.02-50742-72421.84-20762.5</f>
        <v>21348.679999999993</v>
      </c>
      <c r="U9" s="1">
        <f>161997.84-50677-20625-71189.84</f>
        <v>19506</v>
      </c>
      <c r="V9" s="1">
        <f>158489.58-50677-69999.84-19787.5</f>
        <v>18025.239999999991</v>
      </c>
      <c r="W9" s="1">
        <f>152773.52-18587.5-68899.94-49811</f>
        <v>15475.079999999987</v>
      </c>
      <c r="X9" s="1">
        <f>142850.75-43480-66953.84-18050</f>
        <v>14366.910000000003</v>
      </c>
      <c r="Y9" s="1">
        <f>117858.96-25433-64007.84-17262.5</f>
        <v>11155.62000000001</v>
      </c>
      <c r="Z9" s="1">
        <f>103380.46-19355-60530.17-16575</f>
        <v>6920.2900000000081</v>
      </c>
      <c r="AA9" s="1">
        <f>91409.49-17515-53484.25-14875</f>
        <v>5535.2400000000052</v>
      </c>
    </row>
    <row r="10" spans="1:39">
      <c r="C10" t="s">
        <v>45</v>
      </c>
      <c r="D10" s="15">
        <f>(174743-45101-78942-20000)/12*12</f>
        <v>30700</v>
      </c>
      <c r="E10" s="15">
        <f>(174743-45101-78942-20000)/12*11</f>
        <v>28141.666666666668</v>
      </c>
      <c r="F10" s="15">
        <f>(174743-45101-78942-20000)/12*10</f>
        <v>25583.333333333336</v>
      </c>
      <c r="G10" s="15">
        <f>(174743-45101-78942-20000)/12*9</f>
        <v>23025</v>
      </c>
      <c r="H10" s="15">
        <f>(174743-45101-78942-20000)/12*8</f>
        <v>20466.666666666668</v>
      </c>
      <c r="I10" s="1">
        <f>(174743-45101-78942-20000)/12*7</f>
        <v>17908.333333333336</v>
      </c>
      <c r="J10" s="1">
        <f>(174743-45101-78942-20000)/12*6</f>
        <v>15350</v>
      </c>
      <c r="K10" s="1">
        <f>(174743-45101-78942-20000)/12*5</f>
        <v>12791.666666666668</v>
      </c>
      <c r="L10" s="1">
        <f>(174743-45101-78942-20000)/12*4</f>
        <v>10233.333333333334</v>
      </c>
      <c r="M10" s="1">
        <f>(174743-45101-78942-20000)/12*3</f>
        <v>7675</v>
      </c>
      <c r="N10" s="1">
        <f>(174743-45101-78942-20000)/12*2</f>
        <v>5116.666666666667</v>
      </c>
      <c r="O10" s="1">
        <f>(174743-45101-78942-20000)/12</f>
        <v>2558.3333333333335</v>
      </c>
      <c r="P10" s="1">
        <f>(58217-18000)/12*12</f>
        <v>40217</v>
      </c>
      <c r="Q10" s="1">
        <f>(58217-18000)/12*11</f>
        <v>36865.583333333328</v>
      </c>
      <c r="R10" s="1">
        <f>(58217-18000)/12*10</f>
        <v>33514.166666666664</v>
      </c>
      <c r="S10" s="1">
        <f>(58217-18000)/12*9</f>
        <v>30162.75</v>
      </c>
      <c r="T10" s="1">
        <f>(58217-18000)/12*8</f>
        <v>26811.333333333332</v>
      </c>
      <c r="U10" s="1">
        <f>(58217-18000)/12*7</f>
        <v>23459.916666666664</v>
      </c>
      <c r="V10" s="1">
        <f>(58217-18000)/12*6</f>
        <v>20108.5</v>
      </c>
      <c r="W10" s="1">
        <f>(58217-18000)/12*5</f>
        <v>16757.083333333332</v>
      </c>
      <c r="X10" s="1">
        <f>(58217-18000)/12*4</f>
        <v>13405.666666666666</v>
      </c>
      <c r="Y10" s="1">
        <f>(58217-18000)/12*3</f>
        <v>10054.25</v>
      </c>
      <c r="Z10" s="1">
        <f>(58217-18000)/12*2</f>
        <v>6702.833333333333</v>
      </c>
      <c r="AA10" s="1">
        <f>(58217-18000)/12</f>
        <v>3351.4166666666665</v>
      </c>
    </row>
    <row r="11" spans="1:39">
      <c r="C11" t="s">
        <v>29</v>
      </c>
      <c r="D11" s="7">
        <f t="shared" ref="D11:E11" si="14">+D9-D10</f>
        <v>772.04000000000087</v>
      </c>
      <c r="E11" s="7">
        <f t="shared" si="14"/>
        <v>2169.4733333333315</v>
      </c>
      <c r="F11" s="7">
        <f t="shared" ref="F11:G11" si="15">+F9-F10</f>
        <v>2974.0366666666632</v>
      </c>
      <c r="G11" s="7">
        <f t="shared" si="15"/>
        <v>4078.5600000000013</v>
      </c>
      <c r="H11" s="7">
        <f t="shared" ref="H11:I11" si="16">+H9-H10</f>
        <v>4163.1333333333314</v>
      </c>
      <c r="I11" s="7">
        <f t="shared" si="16"/>
        <v>5096.7166666666672</v>
      </c>
      <c r="J11" s="7">
        <f t="shared" ref="J11:K11" si="17">+J9-J10</f>
        <v>5572.1100000000006</v>
      </c>
      <c r="K11" s="7">
        <f t="shared" si="17"/>
        <v>4537.0433333333385</v>
      </c>
      <c r="L11" s="7">
        <f t="shared" ref="L11:M11" si="18">+L9-L10</f>
        <v>5214.4966666666605</v>
      </c>
      <c r="M11" s="7">
        <f t="shared" si="18"/>
        <v>5795.2799999999988</v>
      </c>
      <c r="N11" s="7">
        <f t="shared" ref="N11:O11" si="19">+N9-N10</f>
        <v>3265.7533333333386</v>
      </c>
      <c r="O11" s="7">
        <f t="shared" si="19"/>
        <v>3030.5166666666651</v>
      </c>
      <c r="P11" s="7">
        <f t="shared" ref="P11:AA11" si="20">+P9-P10</f>
        <v>3662.2200000000012</v>
      </c>
      <c r="Q11" s="7">
        <f t="shared" si="20"/>
        <v>3975.2666666666773</v>
      </c>
      <c r="R11" s="7">
        <f t="shared" si="20"/>
        <v>593.93333333334158</v>
      </c>
      <c r="S11" s="7">
        <f t="shared" si="20"/>
        <v>-6790.320000000007</v>
      </c>
      <c r="T11" s="7">
        <f t="shared" si="20"/>
        <v>-5462.6533333333391</v>
      </c>
      <c r="U11" s="7">
        <f t="shared" si="20"/>
        <v>-3953.9166666666642</v>
      </c>
      <c r="V11" s="7">
        <f t="shared" si="20"/>
        <v>-2083.2600000000093</v>
      </c>
      <c r="W11" s="7">
        <f t="shared" si="20"/>
        <v>-1282.0033333333449</v>
      </c>
      <c r="X11" s="7">
        <f t="shared" si="20"/>
        <v>961.24333333333743</v>
      </c>
      <c r="Y11" s="7">
        <f t="shared" si="20"/>
        <v>1101.3700000000099</v>
      </c>
      <c r="Z11" s="7">
        <f t="shared" si="20"/>
        <v>217.45666666667512</v>
      </c>
      <c r="AA11" s="7">
        <f t="shared" si="20"/>
        <v>2183.8233333333387</v>
      </c>
    </row>
    <row r="12" spans="1:39"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39">
      <c r="C13" t="s">
        <v>48</v>
      </c>
      <c r="D13" s="9">
        <v>115540.4</v>
      </c>
      <c r="E13" s="9">
        <v>104659.05</v>
      </c>
      <c r="F13" s="9">
        <v>95877.11</v>
      </c>
      <c r="G13" s="9">
        <v>86530.68</v>
      </c>
      <c r="H13" s="9">
        <v>78335.34</v>
      </c>
      <c r="I13" s="1">
        <f>98543.87-28573.11</f>
        <v>69970.759999999995</v>
      </c>
      <c r="J13" s="1">
        <f>68115.97-9005.62</f>
        <v>59110.35</v>
      </c>
      <c r="K13" s="1">
        <f>51337.23-2013.16</f>
        <v>49324.07</v>
      </c>
      <c r="L13" s="1">
        <f>41173.06-1105.92</f>
        <v>40067.14</v>
      </c>
      <c r="M13" s="1">
        <f>31849.6-797.94</f>
        <v>31051.66</v>
      </c>
      <c r="N13" s="1">
        <f>21770.23-197.94</f>
        <v>21572.29</v>
      </c>
      <c r="O13" s="1">
        <f>13700.23-197.94</f>
        <v>13502.289999999999</v>
      </c>
      <c r="P13" s="1">
        <f>150690.29-37905.51</f>
        <v>112784.78</v>
      </c>
      <c r="Q13" s="1">
        <f>141771.38-37905.51</f>
        <v>103865.87</v>
      </c>
      <c r="R13" s="1">
        <f>131940.21-37617.8</f>
        <v>94322.409999999989</v>
      </c>
      <c r="S13" s="1">
        <f>123167.82-36987</f>
        <v>86180.82</v>
      </c>
      <c r="T13" s="1">
        <f>115581.16-36987</f>
        <v>78594.16</v>
      </c>
      <c r="U13" s="1">
        <f>100991.76-36987</f>
        <v>64004.759999999995</v>
      </c>
      <c r="V13" s="1">
        <f>89873.8-35301.79</f>
        <v>54572.01</v>
      </c>
      <c r="W13" s="1">
        <f>57686.79-10566.83</f>
        <v>47119.96</v>
      </c>
      <c r="X13" s="1">
        <f>46573.23-7698.84</f>
        <v>38874.39</v>
      </c>
      <c r="Y13" s="1">
        <f>35702.89-6835.98</f>
        <v>28866.91</v>
      </c>
      <c r="Z13" s="1">
        <f>15509.91-392.48</f>
        <v>15117.43</v>
      </c>
      <c r="AA13" s="1">
        <f>9727.03-198.3</f>
        <v>9528.7300000000014</v>
      </c>
      <c r="AB13" s="1">
        <f>165283.61-55089.91</f>
        <v>110193.69999999998</v>
      </c>
      <c r="AC13" s="1">
        <f>154985.88-55089.91</f>
        <v>99895.97</v>
      </c>
      <c r="AD13" s="1">
        <f>147908.73-55089.91</f>
        <v>92818.82</v>
      </c>
      <c r="AE13" s="1">
        <f>137385.94-53318.11</f>
        <v>84067.83</v>
      </c>
      <c r="AF13" s="1">
        <f>129017.7-53318.11</f>
        <v>75699.59</v>
      </c>
      <c r="AG13" s="1">
        <f>120422.8-53318.11</f>
        <v>67104.69</v>
      </c>
      <c r="AH13" s="1">
        <f>110494.93-53318.11</f>
        <v>57176.819999999992</v>
      </c>
      <c r="AI13" s="1">
        <f>102406.75-52731.61</f>
        <v>49675.14</v>
      </c>
      <c r="AJ13" s="1">
        <f>56305.75-17474.25</f>
        <v>38831.5</v>
      </c>
      <c r="AK13" s="1">
        <f>29627.71-1697.38</f>
        <v>27930.329999999998</v>
      </c>
      <c r="AL13" s="1">
        <f>19782.49-632.98</f>
        <v>19149.510000000002</v>
      </c>
      <c r="AM13" s="1">
        <f>9721.86-132.98</f>
        <v>9588.880000000001</v>
      </c>
    </row>
    <row r="14" spans="1:39">
      <c r="C14" t="s">
        <v>32</v>
      </c>
      <c r="D14" s="1">
        <f>+(169577-41565)/12*12</f>
        <v>128012</v>
      </c>
      <c r="E14" s="1">
        <f>+(169577-41565)/12*11</f>
        <v>117344.33333333333</v>
      </c>
      <c r="F14" s="1">
        <f>+(169577-41565)/12*10</f>
        <v>106676.66666666666</v>
      </c>
      <c r="G14" s="1">
        <f>+(169577-41565)/12*9</f>
        <v>96009</v>
      </c>
      <c r="H14" s="1">
        <f>+(169577-41565)/12*8</f>
        <v>85341.333333333328</v>
      </c>
      <c r="I14" s="1">
        <f>+(169577-41565)/12*7</f>
        <v>74673.666666666657</v>
      </c>
      <c r="J14" s="1">
        <f>+(169577-41565)/12*6</f>
        <v>64006</v>
      </c>
      <c r="K14" s="1">
        <f>+(169577-41565)/12*5</f>
        <v>53338.333333333328</v>
      </c>
      <c r="L14" s="1">
        <f>+(169577-41565)/12*4</f>
        <v>42670.666666666664</v>
      </c>
      <c r="M14" s="1">
        <f>+(169577-41565)/12*3</f>
        <v>32003</v>
      </c>
      <c r="N14" s="1">
        <f>+(169577-41565)/12*2</f>
        <v>21335.333333333332</v>
      </c>
      <c r="O14" s="1">
        <f>+(169577-41565)/12</f>
        <v>10667.666666666666</v>
      </c>
      <c r="P14" s="1">
        <f>+(171526-40275)/12*12</f>
        <v>131251</v>
      </c>
      <c r="Q14" s="1">
        <f>+(171526-40275)/12*11</f>
        <v>120313.41666666667</v>
      </c>
      <c r="R14" s="1">
        <f>+(171526-40275)/12*10</f>
        <v>109375.83333333334</v>
      </c>
      <c r="S14" s="1">
        <f>+(171526-40275)/12*9</f>
        <v>98438.25</v>
      </c>
      <c r="T14" s="1">
        <f>+(171526-40275)/12*8</f>
        <v>87500.666666666672</v>
      </c>
      <c r="U14" s="1">
        <f>+(171526-40275)/12*7</f>
        <v>76563.083333333343</v>
      </c>
      <c r="V14" s="1">
        <f>+(171526-40275)/12*6</f>
        <v>65625.5</v>
      </c>
      <c r="W14" s="1">
        <f>+(171526-40275)/12*5</f>
        <v>54687.916666666672</v>
      </c>
      <c r="X14" s="1">
        <f>+(171526-40275)/12*4</f>
        <v>43750.333333333336</v>
      </c>
      <c r="Y14" s="1">
        <f>+(171526-40275)/12*3</f>
        <v>32812.75</v>
      </c>
      <c r="Z14" s="1">
        <f>+(171526-40275)/12*2</f>
        <v>21875.166666666668</v>
      </c>
      <c r="AA14" s="1">
        <f>+(171526-40275)/12</f>
        <v>10937.583333333334</v>
      </c>
      <c r="AB14" s="1">
        <f>131660/12*12</f>
        <v>131660</v>
      </c>
      <c r="AC14" s="1">
        <f>131660/12*11</f>
        <v>120688.33333333333</v>
      </c>
      <c r="AD14" s="1">
        <f>131660/12*10</f>
        <v>109716.66666666666</v>
      </c>
      <c r="AE14" s="1">
        <f>131660/12*9</f>
        <v>98745</v>
      </c>
      <c r="AF14" s="1">
        <f>131660/12*8</f>
        <v>87773.333333333328</v>
      </c>
      <c r="AG14" s="1">
        <f>131660/12*7</f>
        <v>76801.666666666657</v>
      </c>
      <c r="AH14" s="1">
        <f>131660/12*6</f>
        <v>65830</v>
      </c>
      <c r="AI14" s="1">
        <f>131660/12*5</f>
        <v>54858.333333333328</v>
      </c>
      <c r="AJ14" s="1">
        <f>131660/12*4</f>
        <v>43886.666666666664</v>
      </c>
      <c r="AK14" s="1">
        <f>131660/12*3</f>
        <v>32915</v>
      </c>
      <c r="AL14" s="1">
        <f>131660/12*2</f>
        <v>21943.333333333332</v>
      </c>
      <c r="AM14" s="1">
        <f>131660/12</f>
        <v>10971.666666666666</v>
      </c>
    </row>
    <row r="15" spans="1:39">
      <c r="C15" t="s">
        <v>33</v>
      </c>
      <c r="D15" s="7">
        <f t="shared" ref="D15:E15" si="21">+D14-D13</f>
        <v>12471.600000000006</v>
      </c>
      <c r="E15" s="7">
        <f t="shared" si="21"/>
        <v>12685.283333333326</v>
      </c>
      <c r="F15" s="7">
        <f t="shared" ref="F15:G15" si="22">+F14-F13</f>
        <v>10799.556666666656</v>
      </c>
      <c r="G15" s="7">
        <f t="shared" si="22"/>
        <v>9478.320000000007</v>
      </c>
      <c r="H15" s="7">
        <f t="shared" ref="H15:I15" si="23">+H14-H13</f>
        <v>7005.993333333332</v>
      </c>
      <c r="I15" s="7">
        <f t="shared" si="23"/>
        <v>4702.9066666666622</v>
      </c>
      <c r="J15" s="7">
        <f t="shared" ref="J15:K15" si="24">+J14-J13</f>
        <v>4895.6500000000015</v>
      </c>
      <c r="K15" s="7">
        <f t="shared" si="24"/>
        <v>4014.2633333333288</v>
      </c>
      <c r="L15" s="7">
        <f t="shared" ref="L15:M15" si="25">+L14-L13</f>
        <v>2603.5266666666648</v>
      </c>
      <c r="M15" s="7">
        <f t="shared" si="25"/>
        <v>951.34000000000015</v>
      </c>
      <c r="N15" s="7">
        <f t="shared" ref="N15:O15" si="26">+N14-N13</f>
        <v>-236.95666666666875</v>
      </c>
      <c r="O15" s="7">
        <f t="shared" si="26"/>
        <v>-2834.623333333333</v>
      </c>
      <c r="P15" s="7">
        <f t="shared" ref="P15:AM15" si="27">+P14-P13</f>
        <v>18466.22</v>
      </c>
      <c r="Q15" s="7">
        <f t="shared" si="27"/>
        <v>16447.546666666676</v>
      </c>
      <c r="R15" s="7">
        <f t="shared" si="27"/>
        <v>15053.423333333354</v>
      </c>
      <c r="S15" s="7">
        <f t="shared" si="27"/>
        <v>12257.429999999993</v>
      </c>
      <c r="T15" s="7">
        <f t="shared" si="27"/>
        <v>8906.506666666668</v>
      </c>
      <c r="U15" s="7">
        <f t="shared" si="27"/>
        <v>12558.323333333348</v>
      </c>
      <c r="V15" s="7">
        <f t="shared" si="27"/>
        <v>11053.489999999998</v>
      </c>
      <c r="W15" s="7">
        <f t="shared" si="27"/>
        <v>7567.9566666666724</v>
      </c>
      <c r="X15" s="7">
        <f t="shared" si="27"/>
        <v>4875.9433333333363</v>
      </c>
      <c r="Y15" s="7">
        <f t="shared" si="27"/>
        <v>3945.84</v>
      </c>
      <c r="Z15" s="7">
        <f t="shared" si="27"/>
        <v>6757.7366666666676</v>
      </c>
      <c r="AA15" s="7">
        <f t="shared" si="27"/>
        <v>1408.8533333333326</v>
      </c>
      <c r="AB15" s="7">
        <f t="shared" si="27"/>
        <v>21466.300000000017</v>
      </c>
      <c r="AC15" s="7">
        <f t="shared" si="27"/>
        <v>20792.363333333327</v>
      </c>
      <c r="AD15" s="7">
        <f t="shared" si="27"/>
        <v>16897.84666666665</v>
      </c>
      <c r="AE15" s="7">
        <f t="shared" si="27"/>
        <v>14677.169999999998</v>
      </c>
      <c r="AF15" s="7">
        <f t="shared" si="27"/>
        <v>12073.743333333332</v>
      </c>
      <c r="AG15" s="7">
        <f t="shared" si="27"/>
        <v>9696.9766666666546</v>
      </c>
      <c r="AH15" s="7">
        <f t="shared" si="27"/>
        <v>8653.1800000000076</v>
      </c>
      <c r="AI15" s="7">
        <f t="shared" si="27"/>
        <v>5183.1933333333291</v>
      </c>
      <c r="AJ15" s="7">
        <f t="shared" si="27"/>
        <v>5055.1666666666642</v>
      </c>
      <c r="AK15" s="7">
        <f t="shared" si="27"/>
        <v>4984.6700000000019</v>
      </c>
      <c r="AL15" s="7">
        <f t="shared" si="27"/>
        <v>2793.8233333333301</v>
      </c>
      <c r="AM15" s="7">
        <f t="shared" si="27"/>
        <v>1382.786666666665</v>
      </c>
    </row>
    <row r="16" spans="1:39"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3:39" ht="15" thickBot="1">
      <c r="C17" t="s">
        <v>35</v>
      </c>
      <c r="D17" s="8">
        <f t="shared" ref="D17:E17" si="28">+D15+D7+D11</f>
        <v>9155.6400000000103</v>
      </c>
      <c r="E17" s="8">
        <f t="shared" si="28"/>
        <v>10807.483939393935</v>
      </c>
      <c r="F17" s="8">
        <f t="shared" ref="F17:G17" si="29">+F15+F7+F11</f>
        <v>9791.9933333333211</v>
      </c>
      <c r="G17" s="8">
        <f t="shared" si="29"/>
        <v>9580.8800000000047</v>
      </c>
      <c r="H17" s="8">
        <f t="shared" ref="H17:I17" si="30">+H15+H7+H11</f>
        <v>7095.1266666666634</v>
      </c>
      <c r="I17" s="8">
        <f t="shared" si="30"/>
        <v>5815.6233333333275</v>
      </c>
      <c r="J17" s="8">
        <f t="shared" ref="J17:K17" si="31">+J15+J7+J11</f>
        <v>6407.7599999999984</v>
      </c>
      <c r="K17" s="8">
        <f t="shared" si="31"/>
        <v>4384.9066666666658</v>
      </c>
      <c r="L17" s="8">
        <f t="shared" ref="L17:M17" si="32">+L15+L7+L11</f>
        <v>3660.0233333333254</v>
      </c>
      <c r="M17" s="8">
        <f t="shared" si="32"/>
        <v>2602.6199999999953</v>
      </c>
      <c r="N17" s="8">
        <f t="shared" ref="N17:O17" si="33">+N15+N7+N11</f>
        <v>-1339.2033333333302</v>
      </c>
      <c r="O17" s="8">
        <f t="shared" si="33"/>
        <v>-3836.1066666666679</v>
      </c>
      <c r="P17" s="8">
        <f t="shared" ref="P17:AA17" si="34">+P15+P7+P11</f>
        <v>19118.439999999999</v>
      </c>
      <c r="Q17" s="8">
        <f t="shared" si="34"/>
        <v>17322.449696969721</v>
      </c>
      <c r="R17" s="8">
        <f t="shared" si="34"/>
        <v>12404.956666666694</v>
      </c>
      <c r="S17" s="8">
        <f t="shared" si="34"/>
        <v>2144.44333333332</v>
      </c>
      <c r="T17" s="8">
        <f t="shared" si="34"/>
        <v>125.85333333332892</v>
      </c>
      <c r="U17" s="8">
        <f t="shared" si="34"/>
        <v>5340.4066666666804</v>
      </c>
      <c r="V17" s="8">
        <f t="shared" si="34"/>
        <v>6002.229999999985</v>
      </c>
      <c r="W17" s="8">
        <f t="shared" si="34"/>
        <v>3429.9533333333275</v>
      </c>
      <c r="X17" s="8">
        <f t="shared" si="34"/>
        <v>2939.1866666666738</v>
      </c>
      <c r="Y17" s="8">
        <f t="shared" si="34"/>
        <v>2303.2100000000132</v>
      </c>
      <c r="Z17" s="8">
        <f t="shared" si="34"/>
        <v>4287.1933333333427</v>
      </c>
      <c r="AA17" s="8">
        <f t="shared" si="34"/>
        <v>1576.6766666666713</v>
      </c>
      <c r="AB17" s="8">
        <f t="shared" ref="AB17:AM17" si="35">+AB15+AB7</f>
        <v>16823.390909090929</v>
      </c>
      <c r="AC17" s="8">
        <f t="shared" si="35"/>
        <v>16149.454242424239</v>
      </c>
      <c r="AD17" s="8">
        <f t="shared" si="35"/>
        <v>12160.246666666651</v>
      </c>
      <c r="AE17" s="8">
        <f t="shared" si="35"/>
        <v>9842.5033333333322</v>
      </c>
      <c r="AF17" s="8">
        <f t="shared" si="35"/>
        <v>7159.743333333332</v>
      </c>
      <c r="AG17" s="8">
        <f t="shared" si="35"/>
        <v>4728.9766666666574</v>
      </c>
      <c r="AH17" s="8">
        <f t="shared" si="35"/>
        <v>3641.1800000000112</v>
      </c>
      <c r="AI17" s="8">
        <f t="shared" si="35"/>
        <v>176.79333333332761</v>
      </c>
      <c r="AJ17" s="8">
        <f t="shared" si="35"/>
        <v>141.16666666666424</v>
      </c>
      <c r="AK17" s="8">
        <f t="shared" si="35"/>
        <v>-559.32999999999811</v>
      </c>
      <c r="AL17" s="8">
        <f t="shared" si="35"/>
        <v>-1658.1766666666699</v>
      </c>
      <c r="AM17" s="8">
        <f t="shared" si="35"/>
        <v>-2145.213333333335</v>
      </c>
    </row>
    <row r="18" spans="3:39" ht="15" thickTop="1"/>
    <row r="19" spans="3:39">
      <c r="C19" t="s">
        <v>37</v>
      </c>
      <c r="D19" s="13">
        <v>183451.03</v>
      </c>
      <c r="E19" s="13">
        <v>165527.87</v>
      </c>
      <c r="F19" s="13">
        <v>169705.41</v>
      </c>
      <c r="G19" s="13">
        <v>171598.07</v>
      </c>
      <c r="H19" s="13">
        <v>171675.05</v>
      </c>
      <c r="I19" s="1">
        <v>174179.87</v>
      </c>
      <c r="J19" s="1">
        <v>196037.68</v>
      </c>
      <c r="K19" s="1">
        <v>201222.8</v>
      </c>
      <c r="L19" s="1">
        <v>199351.59</v>
      </c>
      <c r="M19" s="1">
        <v>182578.38</v>
      </c>
      <c r="N19" s="1">
        <v>172974.49</v>
      </c>
      <c r="O19" s="1">
        <v>168857.21</v>
      </c>
      <c r="P19" s="1">
        <v>158743.64000000001</v>
      </c>
      <c r="Q19" s="1">
        <v>138236.38</v>
      </c>
      <c r="R19" s="1">
        <v>139914.1</v>
      </c>
      <c r="S19" s="1">
        <v>136897.97</v>
      </c>
      <c r="T19" s="1">
        <v>133154.15</v>
      </c>
      <c r="U19" s="1">
        <v>141056.29</v>
      </c>
      <c r="V19" s="1">
        <v>146472.87</v>
      </c>
      <c r="W19" s="1">
        <v>171294.25</v>
      </c>
      <c r="X19" s="1">
        <v>171543.28</v>
      </c>
      <c r="Y19" s="1">
        <v>155924.75</v>
      </c>
      <c r="Z19" s="1">
        <v>154498.1</v>
      </c>
      <c r="AA19" s="1">
        <v>152371.14000000001</v>
      </c>
      <c r="AB19" s="1">
        <v>120388.32</v>
      </c>
      <c r="AC19" s="1">
        <v>99920.19</v>
      </c>
      <c r="AD19" s="1">
        <v>101238.88</v>
      </c>
      <c r="AE19" s="1">
        <v>105639.09</v>
      </c>
      <c r="AF19" s="1">
        <v>108992.54</v>
      </c>
      <c r="AG19" s="1">
        <v>112437.44</v>
      </c>
      <c r="AH19" s="1">
        <v>113633.69</v>
      </c>
      <c r="AI19" s="1">
        <v>115805.19</v>
      </c>
      <c r="AJ19" s="1">
        <v>157672.74</v>
      </c>
      <c r="AK19" s="1">
        <v>164947.21</v>
      </c>
      <c r="AL19" s="1">
        <v>154575.5</v>
      </c>
      <c r="AM19" s="1">
        <v>151253.48000000001</v>
      </c>
    </row>
    <row r="20" spans="3:39">
      <c r="C20" t="s">
        <v>39</v>
      </c>
      <c r="D20" s="14">
        <v>-50647.44</v>
      </c>
      <c r="E20" s="14">
        <v>-48110.63</v>
      </c>
      <c r="F20" s="14">
        <v>-47041.58</v>
      </c>
      <c r="G20" s="14">
        <v>-47041.58</v>
      </c>
      <c r="H20" s="14">
        <v>-47041.58</v>
      </c>
      <c r="I20" s="1">
        <v>-47041.58</v>
      </c>
      <c r="J20" s="1">
        <v>-47041.58</v>
      </c>
      <c r="K20" s="1">
        <v>-47041.58</v>
      </c>
      <c r="L20" s="1">
        <v>-47041.58</v>
      </c>
      <c r="M20" s="1">
        <v>-47041.58</v>
      </c>
      <c r="N20" s="1">
        <v>-47041.58</v>
      </c>
      <c r="O20" s="1">
        <v>-47041.58</v>
      </c>
      <c r="P20" s="1">
        <v>-46210.35</v>
      </c>
      <c r="Q20" s="1">
        <v>-46210.35</v>
      </c>
      <c r="R20" s="1">
        <v>-46210.35</v>
      </c>
      <c r="S20" s="1">
        <v>-46210.35</v>
      </c>
      <c r="T20" s="1">
        <v>-46210.35</v>
      </c>
      <c r="U20" s="1">
        <v>-46210.35</v>
      </c>
      <c r="V20" s="1">
        <v>-46210.35</v>
      </c>
      <c r="W20" s="1">
        <v>-46210.35</v>
      </c>
      <c r="X20" s="1">
        <v>-46210.35</v>
      </c>
      <c r="Y20" s="1">
        <v>-46210.35</v>
      </c>
      <c r="Z20" s="1">
        <v>-46210.35</v>
      </c>
      <c r="AA20" s="1">
        <v>-46210.35</v>
      </c>
      <c r="AB20" s="1">
        <v>-47919.53</v>
      </c>
      <c r="AC20" s="1">
        <v>-47919.53</v>
      </c>
      <c r="AD20" s="1">
        <v>-47919.53</v>
      </c>
      <c r="AE20" s="1">
        <v>-47919.53</v>
      </c>
      <c r="AF20" s="1">
        <v>-47919.53</v>
      </c>
      <c r="AG20" s="1">
        <v>-47919.53</v>
      </c>
      <c r="AH20" s="1">
        <v>-47919.53</v>
      </c>
      <c r="AI20" s="1">
        <v>-47919.53</v>
      </c>
      <c r="AJ20" s="1">
        <v>-47919.53</v>
      </c>
      <c r="AK20" s="1">
        <v>-47919.53</v>
      </c>
      <c r="AL20" s="1">
        <v>-47919.53</v>
      </c>
      <c r="AM20" s="1">
        <v>-47919.53</v>
      </c>
    </row>
    <row r="21" spans="3:39">
      <c r="D21" s="2">
        <f t="shared" ref="D21:E21" si="36">SUM(D19:D20)</f>
        <v>132803.59</v>
      </c>
      <c r="E21" s="2">
        <f t="shared" si="36"/>
        <v>117417.23999999999</v>
      </c>
      <c r="F21" s="2">
        <f t="shared" ref="F21:G21" si="37">SUM(F19:F20)</f>
        <v>122663.83</v>
      </c>
      <c r="G21" s="2">
        <f t="shared" si="37"/>
        <v>124556.49</v>
      </c>
      <c r="H21" s="2">
        <f t="shared" ref="H21:I21" si="38">SUM(H19:H20)</f>
        <v>124633.46999999999</v>
      </c>
      <c r="I21" s="2">
        <f t="shared" si="38"/>
        <v>127138.29</v>
      </c>
      <c r="J21" s="2">
        <f t="shared" ref="J21:K21" si="39">SUM(J19:J20)</f>
        <v>148996.09999999998</v>
      </c>
      <c r="K21" s="2">
        <f t="shared" si="39"/>
        <v>154181.21999999997</v>
      </c>
      <c r="L21" s="2">
        <f t="shared" ref="L21:M21" si="40">SUM(L19:L20)</f>
        <v>152310.01</v>
      </c>
      <c r="M21" s="2">
        <f t="shared" si="40"/>
        <v>135536.79999999999</v>
      </c>
      <c r="N21" s="2">
        <f t="shared" ref="N21:O21" si="41">SUM(N19:N20)</f>
        <v>125932.90999999999</v>
      </c>
      <c r="O21" s="2">
        <f t="shared" si="41"/>
        <v>121815.62999999999</v>
      </c>
      <c r="P21" s="2">
        <f t="shared" ref="P21:Q21" si="42">SUM(P19:P20)</f>
        <v>112533.29000000001</v>
      </c>
      <c r="Q21" s="2">
        <f t="shared" si="42"/>
        <v>92026.03</v>
      </c>
      <c r="R21" s="2">
        <f t="shared" ref="R21:AM21" si="43">SUM(R19:R20)</f>
        <v>93703.75</v>
      </c>
      <c r="S21" s="2">
        <f t="shared" si="43"/>
        <v>90687.62</v>
      </c>
      <c r="T21" s="2">
        <f t="shared" si="43"/>
        <v>86943.799999999988</v>
      </c>
      <c r="U21" s="2">
        <f t="shared" si="43"/>
        <v>94845.94</v>
      </c>
      <c r="V21" s="2">
        <f t="shared" si="43"/>
        <v>100262.51999999999</v>
      </c>
      <c r="W21" s="2">
        <f t="shared" si="43"/>
        <v>125083.9</v>
      </c>
      <c r="X21" s="2">
        <f t="shared" si="43"/>
        <v>125332.93</v>
      </c>
      <c r="Y21" s="2">
        <f t="shared" si="43"/>
        <v>109714.4</v>
      </c>
      <c r="Z21" s="2">
        <f t="shared" si="43"/>
        <v>108287.75</v>
      </c>
      <c r="AA21" s="2">
        <f t="shared" si="43"/>
        <v>106160.79000000001</v>
      </c>
      <c r="AB21" s="2">
        <f t="shared" si="43"/>
        <v>72468.790000000008</v>
      </c>
      <c r="AC21" s="2">
        <f t="shared" si="43"/>
        <v>52000.66</v>
      </c>
      <c r="AD21" s="2">
        <f t="shared" si="43"/>
        <v>53319.350000000006</v>
      </c>
      <c r="AE21" s="2">
        <f t="shared" si="43"/>
        <v>57719.56</v>
      </c>
      <c r="AF21" s="2">
        <f t="shared" si="43"/>
        <v>61073.009999999995</v>
      </c>
      <c r="AG21" s="2">
        <f t="shared" si="43"/>
        <v>64517.91</v>
      </c>
      <c r="AH21" s="2">
        <f t="shared" si="43"/>
        <v>65714.16</v>
      </c>
      <c r="AI21" s="2">
        <f t="shared" si="43"/>
        <v>67885.66</v>
      </c>
      <c r="AJ21" s="2">
        <f t="shared" si="43"/>
        <v>109753.20999999999</v>
      </c>
      <c r="AK21" s="2">
        <f t="shared" si="43"/>
        <v>117027.68</v>
      </c>
      <c r="AL21" s="2">
        <f t="shared" si="43"/>
        <v>106655.97</v>
      </c>
      <c r="AM21" s="2">
        <f t="shared" si="43"/>
        <v>103333.95000000001</v>
      </c>
    </row>
    <row r="23" spans="3:39">
      <c r="C23" t="s">
        <v>41</v>
      </c>
      <c r="D23" s="6">
        <v>11273.89</v>
      </c>
      <c r="E23" s="6">
        <v>11273.89</v>
      </c>
      <c r="F23" s="6">
        <v>11273.89</v>
      </c>
      <c r="G23" s="6">
        <v>11273.89</v>
      </c>
      <c r="H23" s="6">
        <v>11273.89</v>
      </c>
      <c r="I23" s="6">
        <v>11273.89</v>
      </c>
      <c r="J23" s="6"/>
      <c r="K23" s="6"/>
      <c r="L23" s="6"/>
      <c r="M23" s="6"/>
      <c r="N23" s="6"/>
      <c r="O23" s="6"/>
      <c r="P23" s="6">
        <v>12836.49</v>
      </c>
      <c r="Q23" s="6">
        <v>12836.49</v>
      </c>
      <c r="R23" s="6">
        <v>13124.2</v>
      </c>
      <c r="S23" s="6">
        <v>13755</v>
      </c>
      <c r="T23" s="6">
        <v>13755</v>
      </c>
      <c r="U23" s="6">
        <v>13755</v>
      </c>
      <c r="V23" s="6">
        <v>15375.21</v>
      </c>
      <c r="W23" s="3" t="s">
        <v>42</v>
      </c>
      <c r="X23" s="3" t="s">
        <v>42</v>
      </c>
      <c r="Y23" s="3" t="s">
        <v>42</v>
      </c>
      <c r="Z23" s="3" t="s">
        <v>42</v>
      </c>
      <c r="AA23" s="3" t="s">
        <v>42</v>
      </c>
      <c r="AB23" s="6">
        <v>-17550.150000000001</v>
      </c>
      <c r="AC23" s="6">
        <v>-17550.150000000001</v>
      </c>
      <c r="AD23" s="6">
        <v>-17550.150000000001</v>
      </c>
      <c r="AE23" s="6">
        <v>-15778.35</v>
      </c>
      <c r="AF23" s="6">
        <v>-15778.35</v>
      </c>
      <c r="AG23" s="6">
        <v>-15778.35</v>
      </c>
      <c r="AH23" s="6">
        <v>-15778.35</v>
      </c>
      <c r="AI23" s="6">
        <v>-15191.85</v>
      </c>
      <c r="AJ23" s="3" t="s">
        <v>42</v>
      </c>
      <c r="AK23" s="3" t="s">
        <v>42</v>
      </c>
      <c r="AL23" s="3" t="s">
        <v>42</v>
      </c>
      <c r="AM23" s="3" t="s">
        <v>42</v>
      </c>
    </row>
    <row r="25" spans="3:39">
      <c r="Q25" s="9"/>
      <c r="R25" s="9"/>
    </row>
    <row r="26" spans="3:39">
      <c r="I26" s="11"/>
      <c r="J26" s="11"/>
      <c r="K26" s="11"/>
      <c r="L26" s="11"/>
      <c r="M26" s="11"/>
      <c r="N26" s="11"/>
      <c r="O26" s="11"/>
      <c r="P26" s="11"/>
      <c r="Z26" s="1"/>
    </row>
    <row r="30" spans="3:39">
      <c r="Z30" s="9"/>
    </row>
  </sheetData>
  <mergeCells count="2">
    <mergeCell ref="AB1:AD1"/>
    <mergeCell ref="P1:R1"/>
  </mergeCells>
  <pageMargins left="0.7" right="0.7" top="0.75" bottom="0.75" header="0.3" footer="0.3"/>
  <pageSetup scale="2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"/>
  <sheetViews>
    <sheetView topLeftCell="B1" workbookViewId="0">
      <selection activeCell="D10" sqref="D10"/>
    </sheetView>
  </sheetViews>
  <sheetFormatPr defaultRowHeight="14.45"/>
  <cols>
    <col min="3" max="3" width="52.140625" customWidth="1"/>
    <col min="4" max="4" width="17.7109375" customWidth="1"/>
    <col min="5" max="6" width="15.7109375" customWidth="1"/>
    <col min="7" max="10" width="15.7109375" hidden="1" customWidth="1"/>
    <col min="11" max="11" width="14.85546875" hidden="1" customWidth="1"/>
    <col min="12" max="13" width="15.140625" hidden="1" customWidth="1"/>
    <col min="14" max="14" width="13.7109375" hidden="1" customWidth="1"/>
    <col min="15" max="15" width="10.85546875" hidden="1" customWidth="1"/>
    <col min="16" max="17" width="14.7109375" customWidth="1"/>
    <col min="18" max="18" width="12" customWidth="1"/>
    <col min="19" max="23" width="13.5703125" hidden="1" customWidth="1"/>
    <col min="24" max="24" width="14.28515625" hidden="1" customWidth="1"/>
    <col min="25" max="27" width="11.140625" hidden="1" customWidth="1"/>
  </cols>
  <sheetData>
    <row r="1" spans="1:27" ht="15" thickBot="1">
      <c r="A1" t="s">
        <v>1</v>
      </c>
      <c r="D1" s="31">
        <v>2016</v>
      </c>
      <c r="E1" s="32"/>
      <c r="F1" s="33"/>
      <c r="G1" s="28"/>
      <c r="H1" s="28"/>
      <c r="I1" s="28"/>
      <c r="J1" s="29"/>
      <c r="K1" s="28"/>
      <c r="L1" s="28"/>
      <c r="M1" s="28"/>
      <c r="N1" s="28"/>
      <c r="O1" s="29"/>
      <c r="P1" s="31">
        <v>2015</v>
      </c>
      <c r="Q1" s="32"/>
      <c r="R1" s="33"/>
      <c r="S1" s="28"/>
      <c r="T1" s="10"/>
      <c r="U1" s="29"/>
      <c r="V1" s="29"/>
      <c r="W1" s="28"/>
      <c r="X1" s="28"/>
      <c r="Y1" s="28"/>
      <c r="Z1" s="28"/>
      <c r="AA1" s="29"/>
    </row>
    <row r="2" spans="1:27"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</v>
      </c>
      <c r="N2" s="4" t="s">
        <v>3</v>
      </c>
      <c r="O2" s="4" t="s">
        <v>4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  <c r="W2" s="4" t="s">
        <v>12</v>
      </c>
      <c r="X2" s="4" t="s">
        <v>13</v>
      </c>
      <c r="Y2" s="4" t="s">
        <v>2</v>
      </c>
      <c r="Z2" s="4" t="s">
        <v>3</v>
      </c>
      <c r="AA2" s="4" t="s">
        <v>4</v>
      </c>
    </row>
    <row r="3" spans="1:27">
      <c r="C3" t="s">
        <v>46</v>
      </c>
      <c r="D3">
        <f>436+13</f>
        <v>449</v>
      </c>
      <c r="E3">
        <v>451</v>
      </c>
      <c r="F3">
        <f>433+13</f>
        <v>446</v>
      </c>
      <c r="G3">
        <f>428+13</f>
        <v>441</v>
      </c>
      <c r="H3">
        <v>439</v>
      </c>
      <c r="I3">
        <v>431</v>
      </c>
      <c r="J3">
        <v>440</v>
      </c>
      <c r="K3">
        <v>445</v>
      </c>
      <c r="L3">
        <v>441</v>
      </c>
      <c r="M3">
        <v>444</v>
      </c>
      <c r="N3">
        <v>441</v>
      </c>
      <c r="O3">
        <v>449</v>
      </c>
      <c r="P3">
        <v>440</v>
      </c>
      <c r="Q3">
        <v>438</v>
      </c>
      <c r="R3">
        <v>437</v>
      </c>
      <c r="S3">
        <v>435</v>
      </c>
      <c r="T3">
        <v>433</v>
      </c>
      <c r="U3">
        <v>432</v>
      </c>
      <c r="V3">
        <v>430</v>
      </c>
      <c r="W3">
        <v>428</v>
      </c>
      <c r="X3">
        <v>430</v>
      </c>
      <c r="Y3">
        <v>426</v>
      </c>
      <c r="Z3">
        <v>428</v>
      </c>
      <c r="AA3">
        <v>439</v>
      </c>
    </row>
    <row r="4" spans="1:27">
      <c r="C4" t="s">
        <v>17</v>
      </c>
      <c r="D4" s="5">
        <f>AVERAGE(D3:O3)</f>
        <v>443.08333333333331</v>
      </c>
      <c r="E4" s="5">
        <f>AVERAGE(E3:O3)</f>
        <v>442.54545454545456</v>
      </c>
      <c r="F4" s="5">
        <f>AVERAGE(F3:O3)</f>
        <v>441.7</v>
      </c>
      <c r="G4" s="5">
        <f>AVERAGE(G3:O3)</f>
        <v>441.22222222222223</v>
      </c>
      <c r="H4" s="5">
        <f>AVERAGE(H3:O3)</f>
        <v>441.25</v>
      </c>
      <c r="I4" s="5">
        <f>AVERAGE(I3:O3)</f>
        <v>441.57142857142856</v>
      </c>
      <c r="J4" s="5">
        <f>AVERAGE(J3:O3)</f>
        <v>443.33333333333331</v>
      </c>
      <c r="K4" s="5">
        <f>AVERAGE(K3:O3)</f>
        <v>444</v>
      </c>
      <c r="L4" s="5">
        <f>AVERAGE(L3:O3)</f>
        <v>443.75</v>
      </c>
      <c r="M4" s="5">
        <f>AVERAGE(M3:O3)</f>
        <v>444.66666666666669</v>
      </c>
      <c r="N4" s="5">
        <f>AVERAGE(N3:O3)</f>
        <v>445</v>
      </c>
      <c r="O4" s="5">
        <f>+O3</f>
        <v>449</v>
      </c>
      <c r="P4" s="5">
        <f>AVERAGE(Q3:AA3)</f>
        <v>432.36363636363637</v>
      </c>
      <c r="Q4" s="5">
        <f>AVERAGE(Q3:AA3)</f>
        <v>432.36363636363637</v>
      </c>
      <c r="R4" s="5">
        <f>AVERAGE(R3:AA3)</f>
        <v>431.8</v>
      </c>
      <c r="S4" s="5">
        <f>AVERAGE(S3:AA3)</f>
        <v>431.22222222222223</v>
      </c>
      <c r="T4" s="5">
        <f>AVERAGE(T3:AA3)</f>
        <v>430.75</v>
      </c>
      <c r="U4" s="5">
        <f>AVERAGE(U3:AA3)</f>
        <v>430.42857142857144</v>
      </c>
      <c r="V4" s="5">
        <f>AVERAGE(V3:AA3)</f>
        <v>430.16666666666669</v>
      </c>
      <c r="W4" s="5">
        <f>AVERAGE(W3:AA3)</f>
        <v>430.2</v>
      </c>
      <c r="X4" s="5">
        <f>AVERAGE(X3:AA3)</f>
        <v>430.75</v>
      </c>
      <c r="Y4" s="5">
        <f>AVERAGE(Y3:Z3)</f>
        <v>427</v>
      </c>
      <c r="Z4" s="5">
        <f>AVERAGE(Z3:AA3)</f>
        <v>433.5</v>
      </c>
      <c r="AA4">
        <f>+AA3</f>
        <v>439</v>
      </c>
    </row>
    <row r="5" spans="1:27">
      <c r="C5" t="s">
        <v>19</v>
      </c>
      <c r="D5">
        <v>461</v>
      </c>
      <c r="E5">
        <v>461</v>
      </c>
      <c r="F5">
        <v>461</v>
      </c>
      <c r="G5">
        <v>461</v>
      </c>
      <c r="H5">
        <v>461</v>
      </c>
      <c r="I5">
        <v>461</v>
      </c>
      <c r="J5">
        <v>461</v>
      </c>
      <c r="K5">
        <v>461</v>
      </c>
      <c r="L5">
        <v>461</v>
      </c>
      <c r="M5">
        <v>461</v>
      </c>
      <c r="N5">
        <v>461</v>
      </c>
      <c r="O5">
        <v>461</v>
      </c>
      <c r="P5">
        <v>460</v>
      </c>
      <c r="Q5">
        <v>460</v>
      </c>
      <c r="R5">
        <v>460</v>
      </c>
      <c r="S5">
        <v>460</v>
      </c>
      <c r="T5">
        <v>460</v>
      </c>
      <c r="U5">
        <v>460</v>
      </c>
      <c r="V5">
        <v>460</v>
      </c>
      <c r="W5">
        <v>460</v>
      </c>
      <c r="X5">
        <v>460</v>
      </c>
      <c r="Y5">
        <v>460</v>
      </c>
      <c r="Z5">
        <v>460</v>
      </c>
      <c r="AA5">
        <v>460</v>
      </c>
    </row>
    <row r="6" spans="1:27">
      <c r="C6" t="s">
        <v>21</v>
      </c>
      <c r="D6" s="5">
        <f t="shared" ref="D6:E6" si="0">+D4-D5</f>
        <v>-17.916666666666686</v>
      </c>
      <c r="E6" s="5">
        <f t="shared" si="0"/>
        <v>-18.454545454545439</v>
      </c>
      <c r="F6" s="5">
        <f t="shared" ref="F6:G6" si="1">+F4-F5</f>
        <v>-19.300000000000011</v>
      </c>
      <c r="G6" s="5">
        <f t="shared" si="1"/>
        <v>-19.777777777777771</v>
      </c>
      <c r="H6" s="5">
        <f t="shared" ref="H6:I6" si="2">+H4-H5</f>
        <v>-19.75</v>
      </c>
      <c r="I6" s="5">
        <f t="shared" si="2"/>
        <v>-19.428571428571445</v>
      </c>
      <c r="J6" s="5">
        <f t="shared" ref="J6:K6" si="3">+J4-J5</f>
        <v>-17.666666666666686</v>
      </c>
      <c r="K6" s="5">
        <f t="shared" si="3"/>
        <v>-17</v>
      </c>
      <c r="L6" s="5">
        <f t="shared" ref="L6:M6" si="4">+L4-L5</f>
        <v>-17.25</v>
      </c>
      <c r="M6" s="5">
        <f t="shared" si="4"/>
        <v>-16.333333333333314</v>
      </c>
      <c r="N6" s="5">
        <f t="shared" ref="N6:O6" si="5">+N4-N5</f>
        <v>-16</v>
      </c>
      <c r="O6" s="5">
        <f t="shared" si="5"/>
        <v>-12</v>
      </c>
      <c r="P6" s="5">
        <f t="shared" ref="P6:U6" si="6">+P4-P5</f>
        <v>-27.636363636363626</v>
      </c>
      <c r="Q6" s="5">
        <f t="shared" si="6"/>
        <v>-27.636363636363626</v>
      </c>
      <c r="R6" s="5">
        <f t="shared" si="6"/>
        <v>-28.199999999999989</v>
      </c>
      <c r="S6" s="5">
        <f t="shared" si="6"/>
        <v>-28.777777777777771</v>
      </c>
      <c r="T6" s="5">
        <f t="shared" si="6"/>
        <v>-29.25</v>
      </c>
      <c r="U6" s="5">
        <f t="shared" si="6"/>
        <v>-29.571428571428555</v>
      </c>
      <c r="V6" s="5">
        <f t="shared" ref="V6:AA6" si="7">+V4-V5</f>
        <v>-29.833333333333314</v>
      </c>
      <c r="W6" s="5">
        <f t="shared" si="7"/>
        <v>-29.800000000000011</v>
      </c>
      <c r="X6" s="5">
        <f t="shared" si="7"/>
        <v>-29.25</v>
      </c>
      <c r="Y6" s="5">
        <f t="shared" si="7"/>
        <v>-33</v>
      </c>
      <c r="Z6" s="5">
        <f t="shared" si="7"/>
        <v>-26.5</v>
      </c>
      <c r="AA6" s="5">
        <f t="shared" si="7"/>
        <v>-21</v>
      </c>
    </row>
    <row r="7" spans="1:27">
      <c r="C7" t="s">
        <v>23</v>
      </c>
      <c r="D7" s="7">
        <f t="shared" ref="D7:E7" si="8">+D6*168</f>
        <v>-3010.0000000000032</v>
      </c>
      <c r="E7" s="7">
        <f t="shared" si="8"/>
        <v>-3100.3636363636338</v>
      </c>
      <c r="F7" s="7">
        <f t="shared" ref="F7:G7" si="9">+F6*168</f>
        <v>-3242.4000000000019</v>
      </c>
      <c r="G7" s="7">
        <f t="shared" si="9"/>
        <v>-3322.6666666666656</v>
      </c>
      <c r="H7" s="7">
        <f t="shared" ref="H7:I7" si="10">+H6*168</f>
        <v>-3318</v>
      </c>
      <c r="I7" s="7">
        <f t="shared" si="10"/>
        <v>-3264.0000000000027</v>
      </c>
      <c r="J7" s="7">
        <f t="shared" ref="J7:K7" si="11">+J6*168</f>
        <v>-2968.0000000000032</v>
      </c>
      <c r="K7" s="7">
        <f t="shared" si="11"/>
        <v>-2856</v>
      </c>
      <c r="L7" s="7">
        <f t="shared" ref="L7:M7" si="12">+L6*168</f>
        <v>-2898</v>
      </c>
      <c r="M7" s="7">
        <f t="shared" si="12"/>
        <v>-2743.9999999999968</v>
      </c>
      <c r="N7" s="7">
        <f t="shared" ref="N7:O7" si="13">+N6*168</f>
        <v>-2688</v>
      </c>
      <c r="O7" s="7">
        <f t="shared" si="13"/>
        <v>-2016</v>
      </c>
      <c r="P7" s="7">
        <f t="shared" ref="P7:U7" si="14">+P6*168</f>
        <v>-4642.9090909090892</v>
      </c>
      <c r="Q7" s="7">
        <f t="shared" si="14"/>
        <v>-4642.9090909090892</v>
      </c>
      <c r="R7" s="7">
        <f t="shared" si="14"/>
        <v>-4737.5999999999985</v>
      </c>
      <c r="S7" s="7">
        <f t="shared" si="14"/>
        <v>-4834.6666666666661</v>
      </c>
      <c r="T7" s="7">
        <f t="shared" si="14"/>
        <v>-4914</v>
      </c>
      <c r="U7" s="7">
        <f t="shared" si="14"/>
        <v>-4967.9999999999973</v>
      </c>
      <c r="V7" s="7">
        <f t="shared" ref="V7:AA7" si="15">+V6*168</f>
        <v>-5011.9999999999964</v>
      </c>
      <c r="W7" s="7">
        <f t="shared" si="15"/>
        <v>-5006.4000000000015</v>
      </c>
      <c r="X7" s="7">
        <f t="shared" si="15"/>
        <v>-4914</v>
      </c>
      <c r="Y7" s="7">
        <f t="shared" si="15"/>
        <v>-5544</v>
      </c>
      <c r="Z7" s="7">
        <f t="shared" si="15"/>
        <v>-4452</v>
      </c>
      <c r="AA7" s="7">
        <f t="shared" si="15"/>
        <v>-3528</v>
      </c>
    </row>
    <row r="9" spans="1:27">
      <c r="C9" t="s">
        <v>47</v>
      </c>
      <c r="D9" s="1">
        <f>189615.06-50742-73793.84-21200</f>
        <v>43879.22</v>
      </c>
      <c r="E9" s="1">
        <f>186541.69-50742-73758.84-21200</f>
        <v>40840.850000000006</v>
      </c>
      <c r="F9" s="1">
        <f>179593.44-50742-73555.84-21187.5</f>
        <v>34108.100000000006</v>
      </c>
      <c r="G9" s="1">
        <f>168214.77-73037.84-21062.5-50742</f>
        <v>23372.429999999993</v>
      </c>
      <c r="H9" s="1">
        <f>165275.02-50742-72421.84-20762.5</f>
        <v>21348.679999999993</v>
      </c>
      <c r="I9" s="1">
        <f>161997.84-50677-20625-71189.84</f>
        <v>19506</v>
      </c>
      <c r="J9" s="1">
        <f>158489.58-50677-69999.84-19787.5</f>
        <v>18025.239999999991</v>
      </c>
      <c r="K9" s="1">
        <f>152773.52-18587.5-68899.94-49811</f>
        <v>15475.079999999987</v>
      </c>
      <c r="L9" s="1">
        <f>142850.75-43480-66953.84-18050</f>
        <v>14366.910000000003</v>
      </c>
      <c r="M9" s="1">
        <f>117858.96-25433-64007.84-17262.5</f>
        <v>11155.62000000001</v>
      </c>
      <c r="N9" s="1">
        <f>103380.46-19355-60530.17-16575</f>
        <v>6920.2900000000081</v>
      </c>
      <c r="O9" s="1">
        <f>91409.49-17515-53484.25-14875</f>
        <v>5535.2400000000052</v>
      </c>
    </row>
    <row r="10" spans="1:27">
      <c r="C10" t="s">
        <v>45</v>
      </c>
      <c r="D10" s="1">
        <f>(58217-18000)/12*12</f>
        <v>40217</v>
      </c>
      <c r="E10" s="1">
        <f>(58217-18000)/12*11</f>
        <v>36865.583333333328</v>
      </c>
      <c r="F10" s="1">
        <f>(58217-18000)/12*10</f>
        <v>33514.166666666664</v>
      </c>
      <c r="G10" s="1">
        <f>(58217-18000)/12*9</f>
        <v>30162.75</v>
      </c>
      <c r="H10" s="1">
        <f>(58217-18000)/12*8</f>
        <v>26811.333333333332</v>
      </c>
      <c r="I10" s="1">
        <f>(58217-18000)/12*7</f>
        <v>23459.916666666664</v>
      </c>
      <c r="J10" s="1">
        <f>(58217-18000)/12*6</f>
        <v>20108.5</v>
      </c>
      <c r="K10" s="1">
        <f>(58217-18000)/12*5</f>
        <v>16757.083333333332</v>
      </c>
      <c r="L10" s="1">
        <f>(58217-18000)/12*4</f>
        <v>13405.666666666666</v>
      </c>
      <c r="M10" s="1">
        <f>(58217-18000)/12*3</f>
        <v>10054.25</v>
      </c>
      <c r="N10" s="1">
        <f>(58217-18000)/12*2</f>
        <v>6702.833333333333</v>
      </c>
      <c r="O10" s="1">
        <f>(58217-18000)/12</f>
        <v>3351.4166666666665</v>
      </c>
    </row>
    <row r="11" spans="1:27">
      <c r="C11" t="s">
        <v>29</v>
      </c>
      <c r="D11" s="7">
        <f t="shared" ref="D11" si="16">+D9-D10</f>
        <v>3662.2200000000012</v>
      </c>
      <c r="E11" s="7">
        <f t="shared" ref="E11:F11" si="17">+E9-E10</f>
        <v>3975.2666666666773</v>
      </c>
      <c r="F11" s="7">
        <f t="shared" si="17"/>
        <v>593.93333333334158</v>
      </c>
      <c r="G11" s="7">
        <f t="shared" ref="G11:H11" si="18">+G9-G10</f>
        <v>-6790.320000000007</v>
      </c>
      <c r="H11" s="7">
        <f t="shared" si="18"/>
        <v>-5462.6533333333391</v>
      </c>
      <c r="I11" s="7">
        <f t="shared" ref="I11:O11" si="19">+I9-I10</f>
        <v>-3953.9166666666642</v>
      </c>
      <c r="J11" s="7">
        <f t="shared" si="19"/>
        <v>-2083.2600000000093</v>
      </c>
      <c r="K11" s="7">
        <f t="shared" si="19"/>
        <v>-1282.0033333333449</v>
      </c>
      <c r="L11" s="7">
        <f t="shared" si="19"/>
        <v>961.24333333333743</v>
      </c>
      <c r="M11" s="7">
        <f t="shared" si="19"/>
        <v>1101.3700000000099</v>
      </c>
      <c r="N11" s="7">
        <f t="shared" si="19"/>
        <v>217.45666666667512</v>
      </c>
      <c r="O11" s="7">
        <f t="shared" si="19"/>
        <v>2183.8233333333387</v>
      </c>
    </row>
    <row r="12" spans="1:27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7">
      <c r="C13" t="s">
        <v>48</v>
      </c>
      <c r="D13" s="1">
        <f>150690.29-37905.51</f>
        <v>112784.78</v>
      </c>
      <c r="E13" s="1">
        <f>141771.38-37905.51</f>
        <v>103865.87</v>
      </c>
      <c r="F13" s="1">
        <f>131940.21-37617.8</f>
        <v>94322.409999999989</v>
      </c>
      <c r="G13" s="1">
        <f>123167.82-36987</f>
        <v>86180.82</v>
      </c>
      <c r="H13" s="1">
        <f>115581.16-36987</f>
        <v>78594.16</v>
      </c>
      <c r="I13" s="1">
        <f>100991.76-36987</f>
        <v>64004.759999999995</v>
      </c>
      <c r="J13" s="1">
        <f>89873.8-35301.79</f>
        <v>54572.01</v>
      </c>
      <c r="K13" s="1">
        <f>57686.79-10566.83</f>
        <v>47119.96</v>
      </c>
      <c r="L13" s="1">
        <f>46573.23-7698.84</f>
        <v>38874.39</v>
      </c>
      <c r="M13" s="1">
        <f>35702.89-6835.98</f>
        <v>28866.91</v>
      </c>
      <c r="N13" s="1">
        <f>15509.91-392.48</f>
        <v>15117.43</v>
      </c>
      <c r="O13" s="1">
        <f>9727.03-198.3</f>
        <v>9528.7300000000014</v>
      </c>
      <c r="P13" s="1">
        <f>165283.61-55089.91</f>
        <v>110193.69999999998</v>
      </c>
      <c r="Q13" s="1">
        <f>154985.88-55089.91</f>
        <v>99895.97</v>
      </c>
      <c r="R13" s="1">
        <f>147908.73-55089.91</f>
        <v>92818.82</v>
      </c>
      <c r="S13" s="1">
        <f>137385.94-53318.11</f>
        <v>84067.83</v>
      </c>
      <c r="T13" s="1">
        <f>129017.7-53318.11</f>
        <v>75699.59</v>
      </c>
      <c r="U13" s="1">
        <f>120422.8-53318.11</f>
        <v>67104.69</v>
      </c>
      <c r="V13" s="1">
        <f>110494.93-53318.11</f>
        <v>57176.819999999992</v>
      </c>
      <c r="W13" s="1">
        <f>102406.75-52731.61</f>
        <v>49675.14</v>
      </c>
      <c r="X13" s="1">
        <f>56305.75-17474.25</f>
        <v>38831.5</v>
      </c>
      <c r="Y13" s="1">
        <f>29627.71-1697.38</f>
        <v>27930.329999999998</v>
      </c>
      <c r="Z13" s="1">
        <f>19782.49-632.98</f>
        <v>19149.510000000002</v>
      </c>
      <c r="AA13" s="1">
        <f>9721.86-132.98</f>
        <v>9588.880000000001</v>
      </c>
    </row>
    <row r="14" spans="1:27">
      <c r="C14" t="s">
        <v>32</v>
      </c>
      <c r="D14" s="1">
        <f>+(171526-40275)/12*12</f>
        <v>131251</v>
      </c>
      <c r="E14" s="1">
        <f>+(171526-40275)/12*11</f>
        <v>120313.41666666667</v>
      </c>
      <c r="F14" s="1">
        <f>+(171526-40275)/12*10</f>
        <v>109375.83333333334</v>
      </c>
      <c r="G14" s="1">
        <f>+(171526-40275)/12*9</f>
        <v>98438.25</v>
      </c>
      <c r="H14" s="1">
        <f>+(171526-40275)/12*8</f>
        <v>87500.666666666672</v>
      </c>
      <c r="I14" s="1">
        <f>+(171526-40275)/12*7</f>
        <v>76563.083333333343</v>
      </c>
      <c r="J14" s="1">
        <f>+(171526-40275)/12*6</f>
        <v>65625.5</v>
      </c>
      <c r="K14" s="1">
        <f>+(171526-40275)/12*5</f>
        <v>54687.916666666672</v>
      </c>
      <c r="L14" s="1">
        <f>+(171526-40275)/12*4</f>
        <v>43750.333333333336</v>
      </c>
      <c r="M14" s="1">
        <f>+(171526-40275)/12*3</f>
        <v>32812.75</v>
      </c>
      <c r="N14" s="1">
        <f>+(171526-40275)/12*2</f>
        <v>21875.166666666668</v>
      </c>
      <c r="O14" s="1">
        <f>+(171526-40275)/12</f>
        <v>10937.583333333334</v>
      </c>
      <c r="P14" s="1">
        <f>131660/12*12</f>
        <v>131660</v>
      </c>
      <c r="Q14" s="1">
        <f>131660/12*11</f>
        <v>120688.33333333333</v>
      </c>
      <c r="R14" s="1">
        <f>131660/12*10</f>
        <v>109716.66666666666</v>
      </c>
      <c r="S14" s="1">
        <f>131660/12*9</f>
        <v>98745</v>
      </c>
      <c r="T14" s="1">
        <f>131660/12*8</f>
        <v>87773.333333333328</v>
      </c>
      <c r="U14" s="1">
        <f>131660/12*7</f>
        <v>76801.666666666657</v>
      </c>
      <c r="V14" s="1">
        <f>131660/12*6</f>
        <v>65830</v>
      </c>
      <c r="W14" s="1">
        <f>131660/12*5</f>
        <v>54858.333333333328</v>
      </c>
      <c r="X14" s="1">
        <f>131660/12*4</f>
        <v>43886.666666666664</v>
      </c>
      <c r="Y14" s="1">
        <f>131660/12*3</f>
        <v>32915</v>
      </c>
      <c r="Z14" s="1">
        <f>131660/12*2</f>
        <v>21943.333333333332</v>
      </c>
      <c r="AA14" s="1">
        <f>131660/12</f>
        <v>10971.666666666666</v>
      </c>
    </row>
    <row r="15" spans="1:27">
      <c r="C15" t="s">
        <v>33</v>
      </c>
      <c r="D15" s="7">
        <f t="shared" ref="D15" si="20">+D14-D13</f>
        <v>18466.22</v>
      </c>
      <c r="E15" s="7">
        <f t="shared" ref="E15:F15" si="21">+E14-E13</f>
        <v>16447.546666666676</v>
      </c>
      <c r="F15" s="7">
        <f t="shared" si="21"/>
        <v>15053.423333333354</v>
      </c>
      <c r="G15" s="7">
        <f t="shared" ref="G15:H15" si="22">+G14-G13</f>
        <v>12257.429999999993</v>
      </c>
      <c r="H15" s="7">
        <f t="shared" si="22"/>
        <v>8906.506666666668</v>
      </c>
      <c r="I15" s="7">
        <f t="shared" ref="I15:J15" si="23">+I14-I13</f>
        <v>12558.323333333348</v>
      </c>
      <c r="J15" s="7">
        <f t="shared" si="23"/>
        <v>11053.489999999998</v>
      </c>
      <c r="K15" s="7">
        <f t="shared" ref="K15:L15" si="24">+K14-K13</f>
        <v>7567.9566666666724</v>
      </c>
      <c r="L15" s="7">
        <f t="shared" si="24"/>
        <v>4875.9433333333363</v>
      </c>
      <c r="M15" s="7">
        <f t="shared" ref="M15:N15" si="25">+M14-M13</f>
        <v>3945.84</v>
      </c>
      <c r="N15" s="7">
        <f t="shared" si="25"/>
        <v>6757.7366666666676</v>
      </c>
      <c r="O15" s="7">
        <f t="shared" ref="O15" si="26">+O14-O13</f>
        <v>1408.8533333333326</v>
      </c>
      <c r="P15" s="7">
        <f t="shared" ref="P15:U15" si="27">+P14-P13</f>
        <v>21466.300000000017</v>
      </c>
      <c r="Q15" s="7">
        <f t="shared" si="27"/>
        <v>20792.363333333327</v>
      </c>
      <c r="R15" s="7">
        <f t="shared" si="27"/>
        <v>16897.84666666665</v>
      </c>
      <c r="S15" s="7">
        <f t="shared" si="27"/>
        <v>14677.169999999998</v>
      </c>
      <c r="T15" s="7">
        <f t="shared" si="27"/>
        <v>12073.743333333332</v>
      </c>
      <c r="U15" s="7">
        <f t="shared" si="27"/>
        <v>9696.9766666666546</v>
      </c>
      <c r="V15" s="7">
        <f t="shared" ref="V15:AA15" si="28">+V14-V13</f>
        <v>8653.1800000000076</v>
      </c>
      <c r="W15" s="7">
        <f t="shared" si="28"/>
        <v>5183.1933333333291</v>
      </c>
      <c r="X15" s="7">
        <f t="shared" si="28"/>
        <v>5055.1666666666642</v>
      </c>
      <c r="Y15" s="7">
        <f t="shared" si="28"/>
        <v>4984.6700000000019</v>
      </c>
      <c r="Z15" s="7">
        <f t="shared" si="28"/>
        <v>2793.8233333333301</v>
      </c>
      <c r="AA15" s="7">
        <f t="shared" si="28"/>
        <v>1382.786666666665</v>
      </c>
    </row>
    <row r="16" spans="1:27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3:27" ht="15" thickBot="1">
      <c r="C17" t="s">
        <v>35</v>
      </c>
      <c r="D17" s="8">
        <f t="shared" ref="D17:E17" si="29">+D15+D7+D11</f>
        <v>19118.439999999999</v>
      </c>
      <c r="E17" s="8">
        <f t="shared" si="29"/>
        <v>17322.449696969721</v>
      </c>
      <c r="F17" s="8">
        <f t="shared" ref="F17:G17" si="30">+F15+F7+F11</f>
        <v>12404.956666666694</v>
      </c>
      <c r="G17" s="8">
        <f t="shared" si="30"/>
        <v>2144.44333333332</v>
      </c>
      <c r="H17" s="8">
        <f t="shared" ref="H17:I17" si="31">+H15+H7+H11</f>
        <v>125.85333333332892</v>
      </c>
      <c r="I17" s="8">
        <f t="shared" si="31"/>
        <v>5340.4066666666804</v>
      </c>
      <c r="J17" s="8">
        <f t="shared" ref="J17:O17" si="32">+J15+J7+J11</f>
        <v>6002.229999999985</v>
      </c>
      <c r="K17" s="8">
        <f t="shared" si="32"/>
        <v>3429.9533333333275</v>
      </c>
      <c r="L17" s="8">
        <f t="shared" si="32"/>
        <v>2939.1866666666738</v>
      </c>
      <c r="M17" s="8">
        <f t="shared" si="32"/>
        <v>2303.2100000000132</v>
      </c>
      <c r="N17" s="8">
        <f t="shared" si="32"/>
        <v>4287.1933333333427</v>
      </c>
      <c r="O17" s="8">
        <f t="shared" si="32"/>
        <v>1576.6766666666713</v>
      </c>
      <c r="P17" s="8">
        <f t="shared" ref="P17:AA17" si="33">+P15+P7</f>
        <v>16823.390909090929</v>
      </c>
      <c r="Q17" s="8">
        <f t="shared" si="33"/>
        <v>16149.454242424239</v>
      </c>
      <c r="R17" s="8">
        <f t="shared" si="33"/>
        <v>12160.246666666651</v>
      </c>
      <c r="S17" s="8">
        <f t="shared" si="33"/>
        <v>9842.5033333333322</v>
      </c>
      <c r="T17" s="8">
        <f t="shared" si="33"/>
        <v>7159.743333333332</v>
      </c>
      <c r="U17" s="8">
        <f t="shared" si="33"/>
        <v>4728.9766666666574</v>
      </c>
      <c r="V17" s="8">
        <f t="shared" si="33"/>
        <v>3641.1800000000112</v>
      </c>
      <c r="W17" s="8">
        <f t="shared" si="33"/>
        <v>176.79333333332761</v>
      </c>
      <c r="X17" s="8">
        <f t="shared" si="33"/>
        <v>141.16666666666424</v>
      </c>
      <c r="Y17" s="8">
        <f t="shared" si="33"/>
        <v>-559.32999999999811</v>
      </c>
      <c r="Z17" s="8">
        <f t="shared" si="33"/>
        <v>-1658.1766666666699</v>
      </c>
      <c r="AA17" s="8">
        <f t="shared" si="33"/>
        <v>-2145.213333333335</v>
      </c>
    </row>
    <row r="18" spans="3:27" ht="15" thickTop="1"/>
    <row r="19" spans="3:27">
      <c r="C19" t="s">
        <v>37</v>
      </c>
      <c r="D19" s="1">
        <v>158743.64000000001</v>
      </c>
      <c r="E19" s="1">
        <v>138236.38</v>
      </c>
      <c r="F19" s="1">
        <v>139914.1</v>
      </c>
      <c r="G19" s="1">
        <v>136897.97</v>
      </c>
      <c r="H19" s="1">
        <v>133154.15</v>
      </c>
      <c r="I19" s="1">
        <v>141056.29</v>
      </c>
      <c r="J19" s="1">
        <v>146472.87</v>
      </c>
      <c r="K19" s="1">
        <v>171294.25</v>
      </c>
      <c r="L19" s="1">
        <v>171543.28</v>
      </c>
      <c r="M19" s="1">
        <v>155924.75</v>
      </c>
      <c r="N19" s="1">
        <v>154498.1</v>
      </c>
      <c r="O19" s="1">
        <v>152371.14000000001</v>
      </c>
      <c r="P19" s="1">
        <v>120388.32</v>
      </c>
      <c r="Q19" s="1">
        <v>99920.19</v>
      </c>
      <c r="R19" s="1">
        <v>101238.88</v>
      </c>
      <c r="S19" s="1">
        <v>105639.09</v>
      </c>
      <c r="T19" s="1">
        <v>108992.54</v>
      </c>
      <c r="U19" s="1">
        <v>112437.44</v>
      </c>
      <c r="V19" s="1">
        <v>113633.69</v>
      </c>
      <c r="W19" s="1">
        <v>115805.19</v>
      </c>
      <c r="X19" s="1">
        <v>157672.74</v>
      </c>
      <c r="Y19" s="1">
        <v>164947.21</v>
      </c>
      <c r="Z19" s="1">
        <v>154575.5</v>
      </c>
      <c r="AA19" s="1">
        <v>151253.48000000001</v>
      </c>
    </row>
    <row r="20" spans="3:27">
      <c r="C20" t="s">
        <v>39</v>
      </c>
      <c r="D20" s="1">
        <v>-46210.35</v>
      </c>
      <c r="E20" s="1">
        <v>-46210.35</v>
      </c>
      <c r="F20" s="1">
        <v>-46210.35</v>
      </c>
      <c r="G20" s="1">
        <v>-46210.35</v>
      </c>
      <c r="H20" s="1">
        <v>-46210.35</v>
      </c>
      <c r="I20" s="1">
        <v>-46210.35</v>
      </c>
      <c r="J20" s="1">
        <v>-46210.35</v>
      </c>
      <c r="K20" s="1">
        <v>-46210.35</v>
      </c>
      <c r="L20" s="1">
        <v>-46210.35</v>
      </c>
      <c r="M20" s="1">
        <v>-46210.35</v>
      </c>
      <c r="N20" s="1">
        <v>-46210.35</v>
      </c>
      <c r="O20" s="1">
        <v>-46210.35</v>
      </c>
      <c r="P20" s="1">
        <v>-47919.53</v>
      </c>
      <c r="Q20" s="1">
        <v>-47919.53</v>
      </c>
      <c r="R20" s="1">
        <v>-47919.53</v>
      </c>
      <c r="S20" s="1">
        <v>-47919.53</v>
      </c>
      <c r="T20" s="1">
        <v>-47919.53</v>
      </c>
      <c r="U20" s="1">
        <v>-47919.53</v>
      </c>
      <c r="V20" s="1">
        <v>-47919.53</v>
      </c>
      <c r="W20" s="1">
        <v>-47919.53</v>
      </c>
      <c r="X20" s="1">
        <v>-47919.53</v>
      </c>
      <c r="Y20" s="1">
        <v>-47919.53</v>
      </c>
      <c r="Z20" s="1">
        <v>-47919.53</v>
      </c>
      <c r="AA20" s="1">
        <v>-47919.53</v>
      </c>
    </row>
    <row r="21" spans="3:27">
      <c r="D21" s="2">
        <f t="shared" ref="D21:E21" si="34">SUM(D19:D20)</f>
        <v>112533.29000000001</v>
      </c>
      <c r="E21" s="2">
        <f t="shared" si="34"/>
        <v>92026.03</v>
      </c>
      <c r="F21" s="2">
        <f t="shared" ref="F21:G21" si="35">SUM(F19:F20)</f>
        <v>93703.75</v>
      </c>
      <c r="G21" s="2">
        <f t="shared" si="35"/>
        <v>90687.62</v>
      </c>
      <c r="H21" s="2">
        <f t="shared" ref="H21:I21" si="36">SUM(H19:H20)</f>
        <v>86943.799999999988</v>
      </c>
      <c r="I21" s="2">
        <f t="shared" si="36"/>
        <v>94845.94</v>
      </c>
      <c r="J21" s="2">
        <f t="shared" ref="J21:K21" si="37">SUM(J19:J20)</f>
        <v>100262.51999999999</v>
      </c>
      <c r="K21" s="2">
        <f t="shared" si="37"/>
        <v>125083.9</v>
      </c>
      <c r="L21" s="2">
        <f t="shared" ref="L21:M21" si="38">SUM(L19:L20)</f>
        <v>125332.93</v>
      </c>
      <c r="M21" s="2">
        <f t="shared" si="38"/>
        <v>109714.4</v>
      </c>
      <c r="N21" s="2">
        <f t="shared" ref="N21:O21" si="39">SUM(N19:N20)</f>
        <v>108287.75</v>
      </c>
      <c r="O21" s="2">
        <f t="shared" si="39"/>
        <v>106160.79000000001</v>
      </c>
      <c r="P21" s="2">
        <f t="shared" ref="P21" si="40">SUM(P19:P20)</f>
        <v>72468.790000000008</v>
      </c>
      <c r="Q21" s="2">
        <f t="shared" ref="Q21:R21" si="41">SUM(Q19:Q20)</f>
        <v>52000.66</v>
      </c>
      <c r="R21" s="2">
        <f t="shared" si="41"/>
        <v>53319.350000000006</v>
      </c>
      <c r="S21" s="2">
        <f t="shared" ref="S21:T21" si="42">SUM(S19:S20)</f>
        <v>57719.56</v>
      </c>
      <c r="T21" s="2">
        <f t="shared" si="42"/>
        <v>61073.009999999995</v>
      </c>
      <c r="U21" s="2">
        <f t="shared" ref="U21:AA21" si="43">SUM(U19:U20)</f>
        <v>64517.91</v>
      </c>
      <c r="V21" s="2">
        <f t="shared" si="43"/>
        <v>65714.16</v>
      </c>
      <c r="W21" s="2">
        <f t="shared" si="43"/>
        <v>67885.66</v>
      </c>
      <c r="X21" s="2">
        <f t="shared" si="43"/>
        <v>109753.20999999999</v>
      </c>
      <c r="Y21" s="2">
        <f t="shared" si="43"/>
        <v>117027.68</v>
      </c>
      <c r="Z21" s="2">
        <f t="shared" si="43"/>
        <v>106655.97</v>
      </c>
      <c r="AA21" s="2">
        <f t="shared" si="43"/>
        <v>103333.95000000001</v>
      </c>
    </row>
    <row r="23" spans="3:27">
      <c r="C23" t="s">
        <v>41</v>
      </c>
      <c r="D23" s="6">
        <v>12836.49</v>
      </c>
      <c r="E23" s="6">
        <v>12836.49</v>
      </c>
      <c r="F23" s="6">
        <v>13124.2</v>
      </c>
      <c r="G23" s="6">
        <v>13755</v>
      </c>
      <c r="H23" s="6">
        <v>13755</v>
      </c>
      <c r="I23" s="6">
        <v>13755</v>
      </c>
      <c r="J23" s="6">
        <v>15375.21</v>
      </c>
      <c r="K23" s="3" t="s">
        <v>42</v>
      </c>
      <c r="L23" s="3" t="s">
        <v>42</v>
      </c>
      <c r="M23" s="3" t="s">
        <v>42</v>
      </c>
      <c r="N23" s="3" t="s">
        <v>42</v>
      </c>
      <c r="O23" s="3" t="s">
        <v>42</v>
      </c>
      <c r="P23" s="6">
        <v>-17550.150000000001</v>
      </c>
      <c r="Q23" s="6">
        <v>-17550.150000000001</v>
      </c>
      <c r="R23" s="6">
        <v>-17550.150000000001</v>
      </c>
      <c r="S23" s="6">
        <v>-15778.35</v>
      </c>
      <c r="T23" s="6">
        <v>-15778.35</v>
      </c>
      <c r="U23" s="6">
        <v>-15778.35</v>
      </c>
      <c r="V23" s="6">
        <v>-15778.35</v>
      </c>
      <c r="W23" s="6">
        <v>-15191.85</v>
      </c>
      <c r="X23" s="3" t="s">
        <v>42</v>
      </c>
      <c r="Y23" s="3" t="s">
        <v>42</v>
      </c>
      <c r="Z23" s="3" t="s">
        <v>42</v>
      </c>
      <c r="AA23" s="3" t="s">
        <v>42</v>
      </c>
    </row>
    <row r="25" spans="3:27">
      <c r="E25" s="9"/>
      <c r="F25" s="9"/>
    </row>
    <row r="26" spans="3:27">
      <c r="D26" s="11"/>
      <c r="N26" s="1"/>
    </row>
    <row r="30" spans="3:27">
      <c r="N30" s="9"/>
    </row>
  </sheetData>
  <mergeCells count="2">
    <mergeCell ref="P1:R1"/>
    <mergeCell ref="D1:F1"/>
  </mergeCells>
  <pageMargins left="0.7" right="0.7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workbookViewId="0">
      <selection activeCell="M2" sqref="M2:M23"/>
    </sheetView>
  </sheetViews>
  <sheetFormatPr defaultRowHeight="14.45"/>
  <cols>
    <col min="3" max="3" width="52.140625" customWidth="1"/>
    <col min="4" max="5" width="14.7109375" customWidth="1"/>
    <col min="6" max="6" width="12" customWidth="1"/>
    <col min="7" max="11" width="13.5703125" customWidth="1"/>
    <col min="12" max="12" width="14.28515625" customWidth="1"/>
    <col min="13" max="13" width="11.140625" customWidth="1"/>
    <col min="14" max="15" width="11.140625" bestFit="1" customWidth="1"/>
  </cols>
  <sheetData>
    <row r="1" spans="1:15">
      <c r="A1" t="s">
        <v>1</v>
      </c>
    </row>
    <row r="2" spans="1:15"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</v>
      </c>
      <c r="N2" s="4" t="s">
        <v>3</v>
      </c>
      <c r="O2" s="4" t="s">
        <v>4</v>
      </c>
    </row>
    <row r="3" spans="1:15">
      <c r="C3" t="s">
        <v>46</v>
      </c>
      <c r="D3">
        <v>440</v>
      </c>
      <c r="E3">
        <v>438</v>
      </c>
      <c r="F3">
        <v>437</v>
      </c>
      <c r="G3">
        <v>435</v>
      </c>
      <c r="H3">
        <v>433</v>
      </c>
      <c r="I3">
        <v>432</v>
      </c>
      <c r="J3">
        <v>430</v>
      </c>
      <c r="K3">
        <v>428</v>
      </c>
      <c r="L3">
        <v>430</v>
      </c>
      <c r="M3">
        <v>426</v>
      </c>
      <c r="N3">
        <v>428</v>
      </c>
      <c r="O3">
        <v>439</v>
      </c>
    </row>
    <row r="4" spans="1:15">
      <c r="C4" t="s">
        <v>17</v>
      </c>
      <c r="D4" s="5">
        <f>AVERAGE(E3:O3)</f>
        <v>432.36363636363637</v>
      </c>
      <c r="E4" s="5">
        <f>AVERAGE(E3:O3)</f>
        <v>432.36363636363637</v>
      </c>
      <c r="F4" s="5">
        <f>AVERAGE(F3:O3)</f>
        <v>431.8</v>
      </c>
      <c r="G4" s="5">
        <f>AVERAGE(G3:O3)</f>
        <v>431.22222222222223</v>
      </c>
      <c r="H4" s="5">
        <f>AVERAGE(H3:O3)</f>
        <v>430.75</v>
      </c>
      <c r="I4" s="5">
        <f>AVERAGE(I3:O3)</f>
        <v>430.42857142857144</v>
      </c>
      <c r="J4" s="5">
        <f>AVERAGE(J3:O3)</f>
        <v>430.16666666666669</v>
      </c>
      <c r="K4" s="5">
        <f>AVERAGE(K3:O3)</f>
        <v>430.2</v>
      </c>
      <c r="L4" s="5">
        <f>AVERAGE(L3:O3)</f>
        <v>430.75</v>
      </c>
      <c r="M4" s="5">
        <f>AVERAGE(M3:N3)</f>
        <v>427</v>
      </c>
      <c r="N4" s="5">
        <f>AVERAGE(N3:O3)</f>
        <v>433.5</v>
      </c>
      <c r="O4">
        <f>+O3</f>
        <v>439</v>
      </c>
    </row>
    <row r="5" spans="1:15">
      <c r="C5" t="s">
        <v>19</v>
      </c>
      <c r="D5">
        <v>460</v>
      </c>
      <c r="E5">
        <v>460</v>
      </c>
      <c r="F5">
        <v>460</v>
      </c>
      <c r="G5">
        <v>460</v>
      </c>
      <c r="H5">
        <v>460</v>
      </c>
      <c r="I5">
        <v>460</v>
      </c>
      <c r="J5">
        <v>460</v>
      </c>
      <c r="K5">
        <v>460</v>
      </c>
      <c r="L5">
        <v>460</v>
      </c>
      <c r="M5">
        <v>460</v>
      </c>
      <c r="N5">
        <v>460</v>
      </c>
      <c r="O5">
        <v>460</v>
      </c>
    </row>
    <row r="6" spans="1:15">
      <c r="C6" t="s">
        <v>21</v>
      </c>
      <c r="D6" s="5">
        <f t="shared" ref="D6:O6" si="0">+D4-D5</f>
        <v>-27.636363636363626</v>
      </c>
      <c r="E6" s="5">
        <f t="shared" si="0"/>
        <v>-27.636363636363626</v>
      </c>
      <c r="F6" s="5">
        <f t="shared" si="0"/>
        <v>-28.199999999999989</v>
      </c>
      <c r="G6" s="5">
        <f t="shared" si="0"/>
        <v>-28.777777777777771</v>
      </c>
      <c r="H6" s="5">
        <f t="shared" si="0"/>
        <v>-29.25</v>
      </c>
      <c r="I6" s="5">
        <f t="shared" si="0"/>
        <v>-29.571428571428555</v>
      </c>
      <c r="J6" s="5">
        <f t="shared" si="0"/>
        <v>-29.833333333333314</v>
      </c>
      <c r="K6" s="5">
        <f t="shared" si="0"/>
        <v>-29.800000000000011</v>
      </c>
      <c r="L6" s="5">
        <f t="shared" si="0"/>
        <v>-29.25</v>
      </c>
      <c r="M6" s="5">
        <f t="shared" si="0"/>
        <v>-33</v>
      </c>
      <c r="N6" s="5">
        <f t="shared" si="0"/>
        <v>-26.5</v>
      </c>
      <c r="O6" s="5">
        <f t="shared" si="0"/>
        <v>-21</v>
      </c>
    </row>
    <row r="7" spans="1:15">
      <c r="C7" t="s">
        <v>23</v>
      </c>
      <c r="D7" s="7">
        <f t="shared" ref="D7:O7" si="1">+D6*168</f>
        <v>-4642.9090909090892</v>
      </c>
      <c r="E7" s="7">
        <f t="shared" si="1"/>
        <v>-4642.9090909090892</v>
      </c>
      <c r="F7" s="7">
        <f t="shared" si="1"/>
        <v>-4737.5999999999985</v>
      </c>
      <c r="G7" s="7">
        <f t="shared" si="1"/>
        <v>-4834.6666666666661</v>
      </c>
      <c r="H7" s="7">
        <f t="shared" si="1"/>
        <v>-4914</v>
      </c>
      <c r="I7" s="7">
        <f t="shared" si="1"/>
        <v>-4967.9999999999973</v>
      </c>
      <c r="J7" s="7">
        <f t="shared" si="1"/>
        <v>-5011.9999999999964</v>
      </c>
      <c r="K7" s="7">
        <f t="shared" si="1"/>
        <v>-5006.4000000000015</v>
      </c>
      <c r="L7" s="7">
        <f t="shared" si="1"/>
        <v>-4914</v>
      </c>
      <c r="M7" s="7">
        <f t="shared" si="1"/>
        <v>-5544</v>
      </c>
      <c r="N7" s="7">
        <f t="shared" si="1"/>
        <v>-4452</v>
      </c>
      <c r="O7" s="7">
        <f t="shared" si="1"/>
        <v>-3528</v>
      </c>
    </row>
    <row r="9" spans="1:15">
      <c r="C9" t="s">
        <v>47</v>
      </c>
    </row>
    <row r="10" spans="1:15">
      <c r="C10" t="s">
        <v>45</v>
      </c>
    </row>
    <row r="11" spans="1:15">
      <c r="C11" t="s">
        <v>29</v>
      </c>
    </row>
    <row r="13" spans="1:15">
      <c r="C13" t="s">
        <v>48</v>
      </c>
      <c r="D13" s="1">
        <f>165283.61-55089.91</f>
        <v>110193.69999999998</v>
      </c>
      <c r="E13" s="1">
        <f>154985.88-55089.91</f>
        <v>99895.97</v>
      </c>
      <c r="F13" s="1">
        <f>147908.73-55089.91</f>
        <v>92818.82</v>
      </c>
      <c r="G13" s="1">
        <f>137385.94-53318.11</f>
        <v>84067.83</v>
      </c>
      <c r="H13" s="1">
        <f>129017.7-53318.11</f>
        <v>75699.59</v>
      </c>
      <c r="I13" s="1">
        <f>120422.8-53318.11</f>
        <v>67104.69</v>
      </c>
      <c r="J13" s="1">
        <f>110494.93-53318.11</f>
        <v>57176.819999999992</v>
      </c>
      <c r="K13" s="1">
        <f>102406.75-52731.61</f>
        <v>49675.14</v>
      </c>
      <c r="L13" s="1">
        <f>56305.75-17474.25</f>
        <v>38831.5</v>
      </c>
      <c r="M13" s="1">
        <f>29627.71-1697.38</f>
        <v>27930.329999999998</v>
      </c>
      <c r="N13" s="1">
        <f>19782.49-632.98</f>
        <v>19149.510000000002</v>
      </c>
      <c r="O13" s="1">
        <f>9721.86-132.98</f>
        <v>9588.880000000001</v>
      </c>
    </row>
    <row r="14" spans="1:15">
      <c r="C14" t="s">
        <v>32</v>
      </c>
      <c r="D14" s="1">
        <f>131660/12*12</f>
        <v>131660</v>
      </c>
      <c r="E14" s="1">
        <f>131660/12*11</f>
        <v>120688.33333333333</v>
      </c>
      <c r="F14" s="1">
        <f>131660/12*10</f>
        <v>109716.66666666666</v>
      </c>
      <c r="G14" s="1">
        <f>131660/12*9</f>
        <v>98745</v>
      </c>
      <c r="H14" s="1">
        <f>131660/12*8</f>
        <v>87773.333333333328</v>
      </c>
      <c r="I14" s="1">
        <f>131660/12*7</f>
        <v>76801.666666666657</v>
      </c>
      <c r="J14" s="1">
        <f>131660/12*6</f>
        <v>65830</v>
      </c>
      <c r="K14" s="1">
        <f>131660/12*5</f>
        <v>54858.333333333328</v>
      </c>
      <c r="L14" s="1">
        <f>131660/12*4</f>
        <v>43886.666666666664</v>
      </c>
      <c r="M14" s="1">
        <f>131660/12*3</f>
        <v>32915</v>
      </c>
      <c r="N14" s="1">
        <f>131660/12*2</f>
        <v>21943.333333333332</v>
      </c>
      <c r="O14" s="1">
        <f>131660/12</f>
        <v>10971.666666666666</v>
      </c>
    </row>
    <row r="15" spans="1:15">
      <c r="C15" t="s">
        <v>33</v>
      </c>
      <c r="D15" s="7">
        <f t="shared" ref="D15:O15" si="2">+D14-D13</f>
        <v>21466.300000000017</v>
      </c>
      <c r="E15" s="7">
        <f t="shared" si="2"/>
        <v>20792.363333333327</v>
      </c>
      <c r="F15" s="7">
        <f t="shared" si="2"/>
        <v>16897.84666666665</v>
      </c>
      <c r="G15" s="7">
        <f t="shared" si="2"/>
        <v>14677.169999999998</v>
      </c>
      <c r="H15" s="7">
        <f t="shared" si="2"/>
        <v>12073.743333333332</v>
      </c>
      <c r="I15" s="7">
        <f t="shared" si="2"/>
        <v>9696.9766666666546</v>
      </c>
      <c r="J15" s="7">
        <f t="shared" si="2"/>
        <v>8653.1800000000076</v>
      </c>
      <c r="K15" s="7">
        <f t="shared" si="2"/>
        <v>5183.1933333333291</v>
      </c>
      <c r="L15" s="7">
        <f t="shared" si="2"/>
        <v>5055.1666666666642</v>
      </c>
      <c r="M15" s="7">
        <f t="shared" si="2"/>
        <v>4984.6700000000019</v>
      </c>
      <c r="N15" s="7">
        <f t="shared" si="2"/>
        <v>2793.8233333333301</v>
      </c>
      <c r="O15" s="7">
        <f t="shared" si="2"/>
        <v>1382.786666666665</v>
      </c>
    </row>
    <row r="16" spans="1:1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3:15" ht="15" thickBot="1">
      <c r="C17" t="s">
        <v>35</v>
      </c>
      <c r="D17" s="8">
        <f t="shared" ref="D17:O17" si="3">+D15+D7</f>
        <v>16823.390909090929</v>
      </c>
      <c r="E17" s="8">
        <f t="shared" si="3"/>
        <v>16149.454242424239</v>
      </c>
      <c r="F17" s="8">
        <f t="shared" si="3"/>
        <v>12160.246666666651</v>
      </c>
      <c r="G17" s="8">
        <f t="shared" si="3"/>
        <v>9842.5033333333322</v>
      </c>
      <c r="H17" s="8">
        <f t="shared" si="3"/>
        <v>7159.743333333332</v>
      </c>
      <c r="I17" s="8">
        <f t="shared" si="3"/>
        <v>4728.9766666666574</v>
      </c>
      <c r="J17" s="8">
        <f t="shared" si="3"/>
        <v>3641.1800000000112</v>
      </c>
      <c r="K17" s="8">
        <f t="shared" si="3"/>
        <v>176.79333333332761</v>
      </c>
      <c r="L17" s="8">
        <f t="shared" si="3"/>
        <v>141.16666666666424</v>
      </c>
      <c r="M17" s="8">
        <f t="shared" si="3"/>
        <v>-559.32999999999811</v>
      </c>
      <c r="N17" s="8">
        <f t="shared" si="3"/>
        <v>-1658.1766666666699</v>
      </c>
      <c r="O17" s="8">
        <f t="shared" si="3"/>
        <v>-2145.213333333335</v>
      </c>
    </row>
    <row r="18" spans="3:15" ht="15" thickTop="1"/>
    <row r="19" spans="3:15">
      <c r="C19" t="s">
        <v>37</v>
      </c>
      <c r="D19" s="1">
        <v>120388.32</v>
      </c>
      <c r="E19" s="1">
        <v>99920.19</v>
      </c>
      <c r="F19" s="1">
        <v>101238.88</v>
      </c>
      <c r="G19" s="1">
        <v>105639.09</v>
      </c>
      <c r="H19" s="1">
        <v>108992.54</v>
      </c>
      <c r="I19" s="1">
        <v>112437.44</v>
      </c>
      <c r="J19" s="1">
        <v>113633.69</v>
      </c>
      <c r="K19" s="1">
        <v>115805.19</v>
      </c>
      <c r="L19" s="1">
        <v>157672.74</v>
      </c>
      <c r="M19" s="1">
        <v>164947.21</v>
      </c>
      <c r="N19" s="1">
        <v>154575.5</v>
      </c>
      <c r="O19" s="1">
        <v>151253.48000000001</v>
      </c>
    </row>
    <row r="20" spans="3:15">
      <c r="C20" t="s">
        <v>39</v>
      </c>
      <c r="D20" s="1">
        <v>-47919.53</v>
      </c>
      <c r="E20" s="1">
        <v>-47919.53</v>
      </c>
      <c r="F20" s="1">
        <v>-47919.53</v>
      </c>
      <c r="G20" s="1">
        <v>-47919.53</v>
      </c>
      <c r="H20" s="1">
        <v>-47919.53</v>
      </c>
      <c r="I20" s="1">
        <v>-47919.53</v>
      </c>
      <c r="J20" s="1">
        <v>-47919.53</v>
      </c>
      <c r="K20" s="1">
        <v>-47919.53</v>
      </c>
      <c r="L20" s="1">
        <v>-47919.53</v>
      </c>
      <c r="M20" s="1">
        <v>-47919.53</v>
      </c>
      <c r="N20" s="1">
        <v>-47919.53</v>
      </c>
      <c r="O20" s="1">
        <v>-47919.53</v>
      </c>
    </row>
    <row r="21" spans="3:15">
      <c r="D21" s="2">
        <f t="shared" ref="D21" si="4">SUM(D19:D20)</f>
        <v>72468.790000000008</v>
      </c>
      <c r="E21" s="2">
        <f t="shared" ref="E21:O21" si="5">SUM(E19:E20)</f>
        <v>52000.66</v>
      </c>
      <c r="F21" s="2">
        <f t="shared" si="5"/>
        <v>53319.350000000006</v>
      </c>
      <c r="G21" s="2">
        <f t="shared" si="5"/>
        <v>57719.56</v>
      </c>
      <c r="H21" s="2">
        <f t="shared" si="5"/>
        <v>61073.009999999995</v>
      </c>
      <c r="I21" s="2">
        <f t="shared" si="5"/>
        <v>64517.91</v>
      </c>
      <c r="J21" s="2">
        <f t="shared" si="5"/>
        <v>65714.16</v>
      </c>
      <c r="K21" s="2">
        <f t="shared" si="5"/>
        <v>67885.66</v>
      </c>
      <c r="L21" s="2">
        <f t="shared" si="5"/>
        <v>109753.20999999999</v>
      </c>
      <c r="M21" s="2">
        <f t="shared" si="5"/>
        <v>117027.68</v>
      </c>
      <c r="N21" s="2">
        <f t="shared" si="5"/>
        <v>106655.97</v>
      </c>
      <c r="O21" s="2">
        <f t="shared" si="5"/>
        <v>103333.95000000001</v>
      </c>
    </row>
    <row r="23" spans="3:15">
      <c r="C23" t="s">
        <v>41</v>
      </c>
      <c r="D23" s="6">
        <v>-17550.150000000001</v>
      </c>
      <c r="E23" s="6">
        <v>-17550.150000000001</v>
      </c>
      <c r="F23" s="6">
        <v>-17550.150000000001</v>
      </c>
      <c r="G23" s="6">
        <v>-15778.35</v>
      </c>
      <c r="H23" s="6">
        <v>-15778.35</v>
      </c>
      <c r="I23" s="6">
        <v>-15778.35</v>
      </c>
      <c r="J23" s="6">
        <v>-15778.35</v>
      </c>
      <c r="K23" s="6">
        <v>-15191.85</v>
      </c>
      <c r="L23" s="3" t="s">
        <v>42</v>
      </c>
      <c r="M23" s="3" t="s">
        <v>42</v>
      </c>
      <c r="N23" s="3" t="s">
        <v>42</v>
      </c>
      <c r="O23" s="3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Gwen Henson</dc:creator>
  <cp:keywords/>
  <dc:description/>
  <cp:lastModifiedBy>Joe Benzer</cp:lastModifiedBy>
  <cp:revision/>
  <dcterms:created xsi:type="dcterms:W3CDTF">2015-02-26T04:19:23Z</dcterms:created>
  <dcterms:modified xsi:type="dcterms:W3CDTF">2021-04-07T20:28:24Z</dcterms:modified>
  <cp:category/>
  <cp:contentStatus/>
</cp:coreProperties>
</file>